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codeName="ThisWorkbook" defaultThemeVersion="124226"/>
  <mc:AlternateContent xmlns:mc="http://schemas.openxmlformats.org/markup-compatibility/2006">
    <mc:Choice Requires="x15">
      <x15ac:absPath xmlns:x15ac="http://schemas.microsoft.com/office/spreadsheetml/2010/11/ac" url="\\KOZOS_MEGHAJTO\Mikrohitel\GINOP 5.2.2 FVV\Üzleti tervek\Dobos Dániel\"/>
    </mc:Choice>
  </mc:AlternateContent>
  <xr:revisionPtr revIDLastSave="0" documentId="13_ncr:1_{1EE7E5B3-C4C4-4275-9E2E-BEF4F229FBD3}" xr6:coauthVersionLast="37" xr6:coauthVersionMax="37" xr10:uidLastSave="{00000000-0000-0000-0000-000000000000}"/>
  <bookViews>
    <workbookView xWindow="0" yWindow="0" windowWidth="28800" windowHeight="12225" tabRatio="1000" firstSheet="10" activeTab="18"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32" r:id="rId19"/>
    <sheet name="CF_kontroll" sheetId="31" r:id="rId20"/>
  </sheet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terv'!$B$1:$G$80</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CF_kontroll!$A$1:$R$33</definedName>
    <definedName name="_xlnm.Print_Area" localSheetId="0">'Kitöltési Útmutató'!$A$1:$B$104</definedName>
  </definedNames>
  <calcPr calcId="162913"/>
</workbook>
</file>

<file path=xl/calcChain.xml><?xml version="1.0" encoding="utf-8"?>
<calcChain xmlns="http://schemas.openxmlformats.org/spreadsheetml/2006/main">
  <c r="I344" i="32" l="1"/>
  <c r="Q6" i="32" s="1"/>
  <c r="F344" i="32"/>
  <c r="I343" i="32"/>
  <c r="I323" i="32"/>
  <c r="T6" i="32" s="1"/>
  <c r="I302" i="32"/>
  <c r="E281" i="32"/>
  <c r="E280" i="32"/>
  <c r="E279" i="32"/>
  <c r="E278" i="32"/>
  <c r="E277" i="32"/>
  <c r="I240" i="32"/>
  <c r="T4" i="32" s="1"/>
  <c r="I228" i="32"/>
  <c r="Q5" i="32" s="1"/>
  <c r="I172" i="32"/>
  <c r="Q4" i="32" s="1"/>
  <c r="I142" i="32"/>
  <c r="E129" i="32"/>
  <c r="E128" i="32"/>
  <c r="E127" i="32"/>
  <c r="I84" i="32"/>
  <c r="N6" i="32" s="1"/>
  <c r="I83" i="32"/>
  <c r="I48" i="32"/>
  <c r="I28" i="32"/>
  <c r="F28" i="32"/>
  <c r="H24" i="32"/>
  <c r="M14" i="32" s="1"/>
  <c r="N14" i="32" s="1"/>
  <c r="G24" i="32"/>
  <c r="S9" i="32"/>
  <c r="P9" i="32"/>
  <c r="S8" i="32"/>
  <c r="P8" i="32"/>
  <c r="M8" i="32"/>
  <c r="M9" i="32" s="1"/>
  <c r="N7" i="32"/>
  <c r="T5" i="32"/>
  <c r="N5" i="32"/>
  <c r="N4" i="32"/>
  <c r="Q10" i="32" l="1"/>
  <c r="Q11" i="32" s="1"/>
  <c r="I24" i="32"/>
  <c r="N10" i="32"/>
  <c r="N11" i="32" s="1"/>
  <c r="M12" i="32" s="1"/>
  <c r="T10" i="32"/>
  <c r="T11" i="32" s="1"/>
  <c r="O50" i="13"/>
  <c r="N12" i="32" l="1"/>
  <c r="H12" i="32"/>
  <c r="D16" i="32" s="1"/>
  <c r="E12" i="32"/>
  <c r="D34" i="12"/>
  <c r="E34" i="12"/>
  <c r="F34" i="12"/>
  <c r="G34" i="12"/>
  <c r="H34" i="12"/>
  <c r="I34" i="12"/>
  <c r="J34" i="12"/>
  <c r="K34" i="12"/>
  <c r="L34" i="12"/>
  <c r="M34" i="12"/>
  <c r="N34" i="12"/>
  <c r="C34" i="12"/>
  <c r="G17" i="7"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E3" i="31" s="1"/>
  <c r="O9" i="13"/>
  <c r="O10" i="13"/>
  <c r="D39" i="25"/>
  <c r="D32" i="25"/>
  <c r="D29" i="25"/>
  <c r="D24" i="25"/>
  <c r="D20" i="25"/>
  <c r="P13" i="31" s="1"/>
  <c r="N13" i="31" s="1"/>
  <c r="D17" i="25"/>
  <c r="D71" i="25" s="1"/>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M70" i="28" s="1"/>
  <c r="L17" i="28"/>
  <c r="K17" i="28"/>
  <c r="K70" i="28" s="1"/>
  <c r="J17" i="28"/>
  <c r="I17" i="28"/>
  <c r="I70" i="28" s="1"/>
  <c r="H17" i="28"/>
  <c r="G17" i="28"/>
  <c r="G70" i="28" s="1"/>
  <c r="F17" i="28"/>
  <c r="E17" i="28"/>
  <c r="E70" i="28" s="1"/>
  <c r="D17" i="28"/>
  <c r="C17" i="28"/>
  <c r="C70" i="28" s="1"/>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F3" i="31" l="1"/>
  <c r="E19" i="31"/>
  <c r="G19" i="31"/>
  <c r="M19" i="31" s="1"/>
  <c r="D70" i="13"/>
  <c r="D15" i="13"/>
  <c r="E21" i="31"/>
  <c r="G21" i="31"/>
  <c r="E15" i="13"/>
  <c r="E70" i="13"/>
  <c r="E22" i="31"/>
  <c r="G22" i="31"/>
  <c r="E20" i="31"/>
  <c r="G20" i="31"/>
  <c r="M21" i="31" s="1"/>
  <c r="D70" i="28"/>
  <c r="F70" i="28"/>
  <c r="H70" i="28"/>
  <c r="J70" i="28"/>
  <c r="L70" i="28"/>
  <c r="N70" i="28"/>
  <c r="G30" i="31"/>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C68" i="28" s="1"/>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G68" i="28" l="1"/>
  <c r="F27" i="31"/>
  <c r="F32" i="31" s="1"/>
  <c r="E26" i="31"/>
  <c r="G26" i="31"/>
  <c r="N23" i="31"/>
  <c r="Q10" i="31"/>
  <c r="N9" i="31"/>
  <c r="K9" i="31" s="1"/>
  <c r="N21" i="31"/>
  <c r="K21" i="31" s="1"/>
  <c r="N16" i="31"/>
  <c r="K16" i="31" s="1"/>
  <c r="N19"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K10" i="31"/>
  <c r="O68" i="28"/>
  <c r="O16" i="28"/>
  <c r="O28" i="13"/>
  <c r="O29" i="13"/>
  <c r="O30" i="13"/>
  <c r="O31" i="13"/>
  <c r="O32" i="13"/>
  <c r="E18" i="31" l="1"/>
  <c r="G18" i="31"/>
  <c r="E17" i="31"/>
  <c r="G17"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7" i="7"/>
  <c r="D37" i="7" s="1"/>
  <c r="C41" i="7"/>
  <c r="D41" i="7" s="1"/>
  <c r="C47" i="7"/>
  <c r="D47" i="7" s="1"/>
  <c r="C31" i="6"/>
  <c r="D31" i="6" s="1"/>
  <c r="C29" i="6"/>
  <c r="D29" i="6" s="1"/>
  <c r="C27" i="6"/>
  <c r="D27" i="6" s="1"/>
  <c r="C25" i="6"/>
  <c r="D25" i="6" s="1"/>
  <c r="C17" i="6"/>
  <c r="D17" i="6" s="1"/>
  <c r="C14" i="6"/>
  <c r="D14" i="6" s="1"/>
  <c r="C20" i="5"/>
  <c r="D20" i="5" s="1"/>
  <c r="C11" i="4"/>
  <c r="D11" i="4" s="1"/>
  <c r="D79"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49" i="13"/>
  <c r="O48" i="13"/>
  <c r="O47" i="13"/>
  <c r="O46" i="13"/>
  <c r="N45" i="13"/>
  <c r="M45" i="13"/>
  <c r="J45" i="13"/>
  <c r="I45" i="13"/>
  <c r="G45" i="13"/>
  <c r="E45" i="13"/>
  <c r="O27" i="13"/>
  <c r="O26" i="13"/>
  <c r="O25" i="13"/>
  <c r="O24" i="13"/>
  <c r="O23" i="13"/>
  <c r="O22" i="13"/>
  <c r="O21" i="13"/>
  <c r="O20" i="13"/>
  <c r="O19" i="13"/>
  <c r="O18" i="13"/>
  <c r="O17" i="13"/>
  <c r="G11" i="31" l="1"/>
  <c r="E11" i="31"/>
  <c r="E15" i="31"/>
  <c r="G15" i="31"/>
  <c r="E12" i="31"/>
  <c r="I12" i="31" s="1"/>
  <c r="G12" i="31"/>
  <c r="E14" i="31"/>
  <c r="G14" i="31"/>
  <c r="G9" i="31"/>
  <c r="E9" i="31"/>
  <c r="D21" i="15"/>
  <c r="D25" i="15" s="1"/>
  <c r="D27" i="15" s="1"/>
  <c r="E21" i="15"/>
  <c r="E25" i="15" s="1"/>
  <c r="E27" i="15" s="1"/>
  <c r="O45" i="13"/>
  <c r="G5" i="31" s="1"/>
  <c r="O69" i="13"/>
  <c r="O70" i="13"/>
  <c r="G21" i="15"/>
  <c r="G25" i="15" s="1"/>
  <c r="G27" i="15" s="1"/>
  <c r="O12" i="13"/>
  <c r="E27" i="31" l="1"/>
  <c r="E32" i="31" s="1"/>
  <c r="M9" i="31"/>
  <c r="G27" i="31"/>
  <c r="G32" i="31" s="1"/>
  <c r="I11" i="31"/>
  <c r="P10" i="31"/>
  <c r="C3" i="4"/>
  <c r="D3" i="4" s="1"/>
  <c r="C3" i="3"/>
  <c r="D3" i="3" s="1"/>
  <c r="O19" i="31" l="1"/>
  <c r="I19" i="31" s="1"/>
  <c r="O16" i="31"/>
  <c r="I16" i="31" s="1"/>
  <c r="R10" i="31"/>
  <c r="I10" i="31" s="1"/>
  <c r="O21" i="31"/>
  <c r="I21"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<sst xmlns="http://schemas.openxmlformats.org/spreadsheetml/2006/main" count="1735" uniqueCount="995">
  <si>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</si>
  <si>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</si>
  <si>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</si>
  <si>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</si>
  <si>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</si>
  <si>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</si>
  <si>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</si>
  <si>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</si>
  <si>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</si>
  <si>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</si>
  <si>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</si>
  <si>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</si>
  <si>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</si>
  <si>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</si>
  <si>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</si>
  <si>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</si>
  <si>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</si>
  <si>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</si>
  <si>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</si>
  <si>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</si>
  <si>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</si>
  <si>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</si>
  <si>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</si>
  <si>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</si>
  <si>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</si>
  <si>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</si>
  <si>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</si>
  <si>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</si>
  <si>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</si>
  <si>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</si>
  <si>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</si>
  <si>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</si>
  <si>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</si>
  <si>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</si>
  <si>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</si>
  <si>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</si>
  <si>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</si>
  <si>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</si>
  <si>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</si>
  <si>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</si>
  <si>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</si>
  <si>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</si>
  <si>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</si>
  <si>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</si>
  <si>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</si>
  <si>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</si>
  <si>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</si>
  <si>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</si>
  <si>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</si>
  <si>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</si>
  <si>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</si>
  <si>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</si>
  <si>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</si>
  <si>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</si>
  <si>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</si>
  <si>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</si>
  <si>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</si>
  <si>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</si>
  <si>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</si>
  <si>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</si>
  <si>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</si>
  <si>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</si>
  <si>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</si>
  <si>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</si>
  <si>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</si>
  <si>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</si>
  <si>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</si>
  <si>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</si>
  <si>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</si>
  <si>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</si>
  <si>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</si>
  <si>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</si>
  <si>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</si>
  <si>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</si>
  <si>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</si>
  <si>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</si>
  <si>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</si>
  <si>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</si>
  <si>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</si>
  <si>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</si>
  <si>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</si>
  <si>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</si>
  <si>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</si>
  <si>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</si>
  <si>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</si>
  <si>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</si>
  <si>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</si>
  <si>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</si>
  <si>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</si>
  <si>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</si>
  <si>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</si>
  <si>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</si>
  <si>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</si>
  <si>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</si>
  <si>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</si>
  <si>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</si>
  <si>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</si>
  <si>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</si>
  <si>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</si>
  <si>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</si>
  <si>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</si>
  <si>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</si>
  <si>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</si>
  <si>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</si>
  <si>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</si>
  <si>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</si>
  <si>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</si>
  <si>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</si>
  <si>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</si>
  <si>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</si>
  <si>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</si>
  <si>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</si>
  <si>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</si>
  <si>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</si>
  <si>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</si>
  <si>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</si>
  <si>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</si>
  <si>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</si>
  <si>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</si>
  <si>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</si>
  <si>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</si>
  <si>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</si>
  <si>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</si>
  <si>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</si>
  <si>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</si>
  <si>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</si>
  <si>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</si>
  <si>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</si>
  <si>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</si>
  <si>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</si>
  <si>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</si>
  <si>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</si>
  <si>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</si>
  <si>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</si>
  <si>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</si>
  <si>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</si>
  <si>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</si>
  <si>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</si>
  <si>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</si>
  <si>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</si>
  <si>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</si>
  <si>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</si>
  <si>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</si>
  <si>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</si>
  <si>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</si>
  <si>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</si>
  <si>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</si>
  <si>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</si>
  <si>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</si>
  <si>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</si>
  <si>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</si>
  <si>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</si>
  <si>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</si>
  <si>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</si>
  <si>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</si>
  <si>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</si>
  <si>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</si>
  <si>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</si>
  <si>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</si>
  <si>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</si>
  <si>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</si>
  <si>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</si>
  <si>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</si>
  <si>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</si>
  <si>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</si>
  <si>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</si>
  <si>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</si>
  <si>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</si>
  <si>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</si>
  <si>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</si>
  <si>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</si>
  <si>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</si>
  <si>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</si>
  <si>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</si>
  <si>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</si>
  <si>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</si>
  <si>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</si>
  <si>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</si>
  <si>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</si>
  <si>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</si>
  <si>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</si>
  <si>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</si>
  <si>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</si>
  <si>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</si>
  <si>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</si>
  <si>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</si>
  <si>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</si>
  <si>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</si>
  <si>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</si>
  <si>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</si>
  <si>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</si>
  <si>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</si>
  <si>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</si>
  <si>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</si>
  <si>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</si>
  <si>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</si>
  <si>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</si>
  <si>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</si>
  <si>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</si>
  <si>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</si>
  <si>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</si>
  <si>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</si>
  <si>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</si>
  <si>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</si>
  <si>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</si>
  <si>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</si>
  <si>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</si>
  <si>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</si>
  <si>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</si>
  <si>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</si>
  <si>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</si>
  <si>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</si>
  <si>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</si>
  <si>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</si>
  <si>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</si>
  <si>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</si>
  <si>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</si>
  <si>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</si>
  <si>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</si>
  <si>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</si>
  <si>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</si>
  <si>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</si>
  <si>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</si>
  <si>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</si>
  <si>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</si>
  <si>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</si>
  <si>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</si>
  <si>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</si>
  <si>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</si>
  <si>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</si>
  <si>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</si>
  <si>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</si>
  <si>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</si>
  <si>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</si>
  <si>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</si>
  <si>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</si>
  <si>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</si>
  <si>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</si>
  <si>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</si>
  <si>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</si>
  <si>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</si>
  <si>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</si>
  <si>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</si>
  <si>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</si>
  <si>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</si>
  <si>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</si>
  <si>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</si>
  <si>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</si>
  <si>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</si>
  <si>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</si>
  <si>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</si>
  <si>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</si>
  <si>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</si>
  <si>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</si>
  <si>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</si>
  <si>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</si>
  <si>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</si>
  <si>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</si>
  <si>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</si>
  <si>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</si>
  <si>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</si>
  <si>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</si>
  <si>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</si>
  <si>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</si>
  <si>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</si>
  <si>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</si>
  <si>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</si>
  <si>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</si>
  <si>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</si>
  <si>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</si>
  <si>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</si>
  <si>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</si>
  <si>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</si>
  <si>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</si>
  <si>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</si>
  <si>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</si>
  <si>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</si>
  <si>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</si>
  <si>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</si>
  <si>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</si>
  <si>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</si>
  <si>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</si>
  <si>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</si>
  <si>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</si>
  <si>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</si>
  <si>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</si>
  <si>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</si>
  <si>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</si>
  <si>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</si>
  <si>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</si>
  <si>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</si>
  <si>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</si>
  <si>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</si>
  <si>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</si>
  <si>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</si>
  <si>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</si>
  <si>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</si>
  <si>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</si>
  <si>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</si>
  <si>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</si>
  <si>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</si>
  <si>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</si>
  <si>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</si>
  <si>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</si>
  <si>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</si>
  <si>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</si>
  <si>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</si>
  <si>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</si>
  <si>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</si>
  <si>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</si>
  <si>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</si>
  <si>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</si>
  <si>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</si>
  <si>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</si>
  <si>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</si>
  <si>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</si>
  <si>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</si>
  <si>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</si>
  <si>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</si>
  <si>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</si>
  <si>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</si>
  <si>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</si>
  <si>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</si>
  <si>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</si>
  <si>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</si>
  <si>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</si>
  <si>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</si>
  <si>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</si>
  <si>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</si>
  <si>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</si>
  <si>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</si>
  <si>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</si>
  <si>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</si>
  <si>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</si>
  <si>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</si>
  <si>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</si>
  <si>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</si>
  <si>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</si>
  <si>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</si>
  <si>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</si>
  <si>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</si>
  <si>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</si>
  <si>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</si>
  <si>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</si>
  <si>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</si>
  <si>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</si>
  <si>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</si>
  <si>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</si>
  <si>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</si>
  <si>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</si>
  <si>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</si>
  <si>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</si>
  <si>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</si>
  <si>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</si>
  <si>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</si>
  <si>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</si>
  <si>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</si>
  <si>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</si>
  <si>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</si>
  <si>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</si>
  <si>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</si>
  <si>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</si>
  <si>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</si>
  <si>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</si>
  <si>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</si>
  <si>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</si>
  <si>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</si>
  <si>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</si>
  <si>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</si>
  <si>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</si>
  <si>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</si>
  <si>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</si>
  <si>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</si>
  <si>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</si>
  <si>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</si>
  <si>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</si>
  <si>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</si>
  <si>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</si>
  <si>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</si>
  <si>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</si>
  <si>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</si>
  <si>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</si>
  <si>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</si>
  <si>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</si>
  <si>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</si>
  <si>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</si>
  <si>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</si>
  <si>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</si>
  <si>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</si>
  <si>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</si>
  <si>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</si>
  <si>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</si>
  <si>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</si>
  <si>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</si>
  <si>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</si>
  <si>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</si>
  <si>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</si>
  <si>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</si>
  <si>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</si>
  <si>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</si>
  <si>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</si>
  <si>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</si>
  <si>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</si>
  <si>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</si>
  <si>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</si>
  <si>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</si>
  <si>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</si>
  <si>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</si>
  <si>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</si>
  <si>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</si>
  <si>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</si>
  <si>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</si>
  <si>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</si>
  <si>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</si>
  <si>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</si>
  <si>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</si>
  <si>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</si>
  <si>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</si>
  <si>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</si>
  <si>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</si>
  <si>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</si>
  <si>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</si>
  <si>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</si>
  <si>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</si>
  <si>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</si>
  <si>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</si>
  <si>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</si>
  <si>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</si>
  <si>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</si>
  <si>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</si>
  <si>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</si>
  <si>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</si>
  <si>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</si>
  <si>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</si>
  <si>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</si>
  <si>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</si>
  <si>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</si>
  <si>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</si>
  <si>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</si>
  <si>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</si>
  <si>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</si>
  <si>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</si>
  <si>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</si>
  <si>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</si>
  <si>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</si>
  <si>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</si>
  <si>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</si>
  <si>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</si>
  <si>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</si>
  <si>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</si>
  <si>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</si>
  <si>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</si>
  <si>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</si>
  <si>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</si>
  <si>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</si>
  <si>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</si>
  <si>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</si>
  <si>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</si>
  <si>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</si>
  <si>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</si>
  <si>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</si>
  <si>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</si>
  <si>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</si>
  <si>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</si>
  <si>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</si>
  <si>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</si>
  <si>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</si>
  <si>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</si>
  <si>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</si>
  <si>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</si>
  <si>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</si>
  <si>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</si>
  <si>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</si>
  <si>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</si>
  <si>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</si>
  <si>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</si>
  <si>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</si>
  <si>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</si>
  <si>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</si>
  <si>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</si>
  <si>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</si>
  <si>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</si>
  <si>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</si>
  <si>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</si>
  <si>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</si>
  <si>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</si>
  <si>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</si>
  <si>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</si>
  <si>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</si>
  <si>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</si>
  <si>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</si>
  <si>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</si>
  <si>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</si>
  <si>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</si>
  <si>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</si>
  <si>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</si>
  <si>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</si>
  <si>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</si>
  <si>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</si>
  <si>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</si>
  <si>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</si>
  <si>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</si>
  <si>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</si>
  <si>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</si>
  <si>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</si>
  <si>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</si>
  <si>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</si>
  <si>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</si>
  <si>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</si>
  <si>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</si>
  <si>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</si>
  <si>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</si>
  <si>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</si>
  <si>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</si>
  <si>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</si>
  <si>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</si>
  <si>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</si>
  <si>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</si>
  <si>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</si>
  <si>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</si>
  <si>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</si>
  <si>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</si>
  <si>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</si>
  <si>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</si>
  <si>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</si>
  <si>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</si>
  <si>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</si>
  <si>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</si>
  <si>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</si>
  <si>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</si>
  <si>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</si>
  <si>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</si>
  <si>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</si>
  <si>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</si>
  <si>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</si>
  <si>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</si>
  <si>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</si>
  <si>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</si>
  <si>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</si>
  <si>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</si>
  <si>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</si>
  <si>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</si>
  <si>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</si>
  <si>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</si>
  <si>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</si>
  <si>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</si>
  <si>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</si>
  <si>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</si>
  <si>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</si>
  <si>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</si>
  <si>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</si>
  <si>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</si>
  <si>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</si>
  <si>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</si>
  <si>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</si>
  <si>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</si>
  <si>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</si>
  <si>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</si>
  <si>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</si>
  <si>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</si>
  <si>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</si>
  <si>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</si>
  <si>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</si>
  <si>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</si>
  <si>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</si>
  <si>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</si>
  <si>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</si>
  <si>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</si>
  <si>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</si>
  <si>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</si>
  <si>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</si>
  <si>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</si>
  <si>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</si>
  <si>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</si>
  <si>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</si>
  <si>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</si>
  <si>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</si>
  <si>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</si>
  <si>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</si>
  <si>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</si>
  <si>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</si>
  <si>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</si>
  <si>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</si>
  <si>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</si>
  <si>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</si>
  <si>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</si>
  <si>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</si>
  <si>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</si>
  <si>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</si>
  <si>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</si>
  <si>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</si>
  <si>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</si>
  <si>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</si>
  <si>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</si>
  <si>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</si>
  <si>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</si>
  <si>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</si>
  <si>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</si>
  <si>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</si>
  <si>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</si>
  <si>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</si>
  <si>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</si>
  <si>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</si>
  <si>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</si>
  <si>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</si>
  <si>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</si>
  <si>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</si>
  <si>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</si>
  <si>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</si>
  <si>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</si>
  <si>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</si>
  <si>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</si>
  <si>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</si>
  <si>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</si>
  <si>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</si>
  <si>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</si>
  <si>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</si>
  <si>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</si>
  <si>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</si>
  <si>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</si>
  <si>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</si>
  <si>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Dobos Dániel</t>
  </si>
  <si>
    <t>133512LA</t>
  </si>
  <si>
    <t>Dobos Dániel egyéni vállalkozó</t>
  </si>
  <si>
    <t>Salgótarján, 2018.09.27.</t>
  </si>
  <si>
    <t>Megalapítandó vállalkozásomra nem vonatkozik.</t>
  </si>
  <si>
    <t>3300 Eger, Kertész u, 177/b</t>
  </si>
  <si>
    <t>2018.09.21-2018.09.27., Salgótarján, Mártírok útja 1.</t>
  </si>
  <si>
    <t>3300 Eger, Kertész u. 177/b</t>
  </si>
  <si>
    <t>dobos.dani25@gmail.com</t>
  </si>
  <si>
    <t>2021.</t>
  </si>
  <si>
    <t>Vállalkozás megalapítása</t>
  </si>
  <si>
    <t>működő vállalkozásomhoz</t>
  </si>
  <si>
    <t>adminisztráció</t>
  </si>
  <si>
    <t>A megalapítandó vállalkozásomra nem vonatkozik.</t>
  </si>
  <si>
    <t>vállalkozó</t>
  </si>
  <si>
    <t>főállás</t>
  </si>
  <si>
    <t>A vállalkozás megalapítása</t>
  </si>
  <si>
    <t>A támogatási előleg lehívása</t>
  </si>
  <si>
    <t>Eszközök beszerzése</t>
  </si>
  <si>
    <t>Munkabér fizetése</t>
  </si>
  <si>
    <t>Szolgáltatás értékesítése</t>
  </si>
  <si>
    <t>Marketing tevékenység</t>
  </si>
  <si>
    <t>Kötelező arculati elemek teljesítése</t>
  </si>
  <si>
    <t>nem releváns</t>
  </si>
  <si>
    <t>2021. év</t>
  </si>
  <si>
    <t>nyújtott: wifi, igénybe vett szolgáltatás: könyvelő</t>
  </si>
  <si>
    <t>1.    naptári év  2018.</t>
  </si>
  <si>
    <t>2.  naptári   év  2019.</t>
  </si>
  <si>
    <t>3300 Eger, Kertész u. 9.</t>
  </si>
  <si>
    <t>Vállalkozói tapasztalat hiánya</t>
  </si>
  <si>
    <t>Vállalkozói képzések, fórumok látogatása</t>
  </si>
  <si>
    <t>Napi feladatok megfelelő ütemezése</t>
  </si>
  <si>
    <t>Napi rutin kialakítása a munkaidő beosztására</t>
  </si>
  <si>
    <t>Olyan vendéglátóegység üzemeltetése, amely céges, családi és egyéb csoportos rendezvények lebonyolítására specializálódott.</t>
  </si>
  <si>
    <t>Vendéglátó- és idegenforgalmi szakmenedzser szakmával rendelkezem, nyolc éve dolgozom vendéglátásban. Előző munkahelyeimen tapasztaltam, hogy nagy igény lenne városunkban egy olyan vendéglátó egységre, amely nem csupán italmérést végez, hanem alkalmas céges, családi, vagy bármilyen csoportos rendezvény lebonyolítására is.</t>
  </si>
  <si>
    <t>Minőségi szolgáltatást szeretnék nyújtani a megrendelőknek. Szeretnék folyamatosan bővölő ügyfélkörrel, valamint elégedett visszatérő vásárlókkal rendelkezni.</t>
  </si>
  <si>
    <t>A jövőben szeretném bővíteni a tevékenységemet külső helyzíni rendezvények megszervezésével és lebonyolításával, szeretnék alkalmazottakat fölvenni, hogy bővíteni tudjuk a megrendelőink körét.</t>
  </si>
  <si>
    <t>Jól terhelhető vagyok, a céljaim elérése érdekében mindent megteszek. Igényes vagyok a munkámra.</t>
  </si>
  <si>
    <t>Néha túl sokat időt töltök a részletekkel.</t>
  </si>
  <si>
    <t>Tanulmányaim mellett már elkezdtem a vendéglátásban dolgozni, ahol tapasztalt kollégáktól tanulhattam. Később vezetőként kamatoztattam a megszerzett tudást.</t>
  </si>
  <si>
    <t>A folyamatosan változó igények miatt fontos a folyamatos tanulás.</t>
  </si>
  <si>
    <t>Tanulmányaim mellett egy helyi, szórakozóhelyeket üzemeltető cégnél dolgoztam pultosként 3 évig. Ezután másfél évig recepciósként dolgoztam egy szállodában. Ezt követően majdnem 2 évig vendéglátó managerkért dolgoztam. 2016 októberétől üzletvezetőként dolgoztam egy vállalkozónál, egy bárt és egy éttermet vezettem.</t>
  </si>
  <si>
    <t>Precizitás és lelkiismeretesség jellemez, jól kommunikálok másokkal. Az emberekkel hamar megtalálom a közös hangot, könnyedén elnyerem a bizalmukat.</t>
  </si>
  <si>
    <t>Nehezen tudok nemet mondani.</t>
  </si>
  <si>
    <t>A trendek folyamatosan változnak a vendéglátásban, sok utánajárásra van szükség, hogy naprakészek legyünk.</t>
  </si>
  <si>
    <t>Adminisztrációs tevékenységekkel kapcsolatos hiányos ismeretek</t>
  </si>
  <si>
    <t>Konzultáció könyvelővel</t>
  </si>
  <si>
    <t>Versenytársak a piacon</t>
  </si>
  <si>
    <t>Jogszabályok, előírások változása</t>
  </si>
  <si>
    <t>Folyamatos kapcsolattartás szakértőkkel</t>
  </si>
  <si>
    <t>Vevői igények drasztikus változása</t>
  </si>
  <si>
    <t>A szolgáltatások folyamatos alakítása a vásárlók igényeinek megfelelően,a vevők maximális elégedettségének elérése. Árak folyamatos felülvizsgálata</t>
  </si>
  <si>
    <t>Állandó igényfelmérés, kínálat átalakítása a tapasztalatoknak megfelelőren</t>
  </si>
  <si>
    <t>Vállalkozói engedély, üzlet működési engedélye, italmérési engedély, szakhatósági engedélyek (NÉBIH, ÁNTSZ)</t>
  </si>
  <si>
    <t>Megalapítandó vállalkozásom indításához rendelkezem a szükséges végzettséggel, valamint szakmai tapasztalattal.</t>
  </si>
  <si>
    <t>Az italokat helyi italnagykereskedésekből szerzem majd be (Agria Drink, Újgyőri Italház). Az ételeket, péksüteményeket, cukrász termékeket a vendég igényeinek leginkább megfelelő helyről szerzem majd be, velük igyekszem kedvező megállapodásokat kötni.</t>
  </si>
  <si>
    <t>KATA</t>
  </si>
  <si>
    <t>Könyvelő</t>
  </si>
  <si>
    <t>Marketing költség</t>
  </si>
  <si>
    <t>Az elemzés során más vendéglátóegységek adottságait vizsgáltam meg, valamint az általuk nyújtott szolgáltatásokat. A keresleti oldalon több potenciális ügyféllel is beszélgetést folytattam.</t>
  </si>
  <si>
    <t>Jelentős keresletet véltem felfedezni egy olyan vendéglátóegység iránt, amely a szokványos italoztatáson kívül kisebb rendezvények, képzések, tájékoztatók, családi és baráti összejövetelek helyéül szolgálhat.</t>
  </si>
  <si>
    <t>Megpróbálom a felfedezett vevői igényeket széleskörűen kielégíteni.</t>
  </si>
  <si>
    <t>Célcsoportom a 18-70 év közötti személyek, valamint cégek, önszerveződő csoportok, baráti társaságok, diákkörök, családok.</t>
  </si>
  <si>
    <t>18-70</t>
  </si>
  <si>
    <t>Egy cégnél dolgozók, egy baráti társaságba vagy egy családba tartozó egyének.</t>
  </si>
  <si>
    <t>Családi rendezvényekre (születésnap, évforduló, ballagás),céges képzésekre, értekezletekre, évértékelőkre, nagyobb baráti összejövetelekre, diákkörök iskolán kívüli rendezvényeire helyszín szolgáltatás, étel- és italfogyasztás biztosítása, technikai eszközök(vetítés, hangosítás) biztosítása.</t>
  </si>
  <si>
    <t xml:space="preserve">Az üzlethelység egyszerre 50 fő befogadására alkalmas. </t>
  </si>
  <si>
    <t>Bíboros</t>
  </si>
  <si>
    <t>Központi elhelyezkedés</t>
  </si>
  <si>
    <t>Zsúfolt, lelakott</t>
  </si>
  <si>
    <t>Több különálló helységből áll.</t>
  </si>
  <si>
    <t>Hippolit Terrace</t>
  </si>
  <si>
    <t>Melegkonyhás egység</t>
  </si>
  <si>
    <t>Gyakorlatlan személyzet, nem variálható belső tér</t>
  </si>
  <si>
    <t>Ételeket is kínál</t>
  </si>
  <si>
    <t>Vén Bagoly Kultúrkocsma</t>
  </si>
  <si>
    <t>Nagy kerthelység</t>
  </si>
  <si>
    <t>Kicsi belső tér</t>
  </si>
  <si>
    <t>Kiállításoknak, koncerteknek ad otthont</t>
  </si>
  <si>
    <t>Juhász rosé</t>
  </si>
  <si>
    <t>Coca-Cola</t>
  </si>
  <si>
    <t>Presszó kávé</t>
  </si>
  <si>
    <t>A már üzemelő egységek között újként indulni nehézkes, időre van szükség, hogy a vásárlók megismerjenek. Szerencsére a téli időszakban sok céges és egyéb rendevény keres helyszínt magának, így nagy eséllyel indulhatok a versenyben.</t>
  </si>
  <si>
    <t>Az eddigi munkatapasztalataim kamatoztatásával képes vagyok a vendégek igényeinek kielégítésére. A kezdetektől fogva lakhelyemen tevékenykedem, így jó hírre tettem szert a vendéglátás területén. Úgy érzem, hogy sikerrel tudok üzemeltetni egy vállalkozást, ami különféle rendezvények kiszolgálásával foglalkozik.</t>
  </si>
  <si>
    <t>Igényes környezet, modern technikai eszközök, személyre szabott szolgáltatások, vevőorientált árképzés, rugalmasság.</t>
  </si>
  <si>
    <t>Megbízhatóság, rugalmasság és precizitás</t>
  </si>
  <si>
    <t>Gyors problémamegoldó készség</t>
  </si>
  <si>
    <t>Személyre szabott szolgáltatások mindenkinek</t>
  </si>
  <si>
    <t>Vendégbarát árak</t>
  </si>
  <si>
    <t>Odafigyelés</t>
  </si>
  <si>
    <t>Folyamatosan változó trendek</t>
  </si>
  <si>
    <t>Változó technikai igények</t>
  </si>
  <si>
    <t>Több versenytárs a településen</t>
  </si>
  <si>
    <t>Szigorodó előírások</t>
  </si>
  <si>
    <t>Vállalkozásom árpolitikáját befolyásolja a versenytársak által meghatározott ár, egyes konkurensektől alacsonyabb árakon fogok dolgozni. Mivel a szolgáltatásokat magasabb színvonalon szeretném kínálni a többieknél, nem tehetem meg, hogy minden egységtől olcsóbban szolgáltassak. Így egyes egységekhez viszonyítva ugyanazon az áron, de sokkal magasabb színvonalú szolgáltatást fogok nyújtani.</t>
  </si>
  <si>
    <t>Egyéni vállalkozóként szeretném megalapítani a vállalkozásomat, ügyfélkapun keresztül. Az induláskor facebook reklámmal és cégek, valamint szervezetek számára küldött reklám levéllel szeretném magamra felhívni a figyelmet. Az előző munkahelyeimen kialakított jó kapcsolatokat kihasználva elkezdem kialakítani az állandóvendégkörömet.</t>
  </si>
  <si>
    <t>Személyre szabott, magas színvonalú szolgáltatás. Megfizethető árak, jó ár-érték arány.</t>
  </si>
  <si>
    <t>Elsődlegesen az interneten fogom keresni leendő ügyfeleimet. Erre legalkalmasabbnak a népszerű közösségi oldalakat tartom. Manapság szinte mindenki használja őket, azonnal megoszthatok rajta minden hasznos információt, képeket, valamint rögtön felvehetik velem a kapcsolatot az érdeklődők. Másodszor fontos lesz közvetlenül felkeresnem cégeket, szervezeteket, akik potenciális ügyfelei lehetnek a vállalkozásnak. Őket e-mailben vagy levélben érhetem el a legkönnyeben.</t>
  </si>
  <si>
    <t>Potenciális vendégek sikertelen elérése</t>
  </si>
  <si>
    <t>Marketing szakember bevonása</t>
  </si>
  <si>
    <t>Túlzott érdeklődés a szolgáltatás iránt</t>
  </si>
  <si>
    <t>Alkalmazott keresése</t>
  </si>
  <si>
    <t>Célcsoportom azok a 18-70 év közötti személyek, inkább fiatalok, akik tagjai valamilyen csoprtnak és ezzel a csoporttal közös programot kívánnak szervezni.</t>
  </si>
  <si>
    <t>Manapság az embereknek leterheltek, nincs elég idejük családi események megszervezésére. A kisebb cégeknél, csoportoknál nincs külön ember ezekre afeladatokra. Erre jelent megoldást az általam nyújtott szolgáltatás</t>
  </si>
  <si>
    <t>A vállalkozás beindításához hiányzó tőke</t>
  </si>
  <si>
    <t>Megfelelő üzleti terv benyújtása</t>
  </si>
  <si>
    <t>Vevői igények hirtelen megváltozása</t>
  </si>
  <si>
    <t>Piackutatás, megújulás</t>
  </si>
  <si>
    <t>Személyautó, projektor, vetítővászon, italméréshez kapcsolódó eszközök</t>
  </si>
  <si>
    <t>Régóta vágyom saját üzletre, ahol eddigi tapasztalataimat kamatoztatva teremthetek meg valami újat,  megvalósíthatom az ötleteimet és elismerést szerezhetek.</t>
  </si>
  <si>
    <t>Rövidtávon biztosítani szeretném a vállalkozás állandó működését, megtalálni a megfelelő beszállítókat, megkezdeni egy állandó elégedett vendégkör kialakítását. Középtávon újabb szolgáltatásokkal nagyobb piaci részesedést kívánok szerezni</t>
  </si>
  <si>
    <t>5 db, 75%</t>
  </si>
  <si>
    <t>Nagyobb értékű berendezés tönkremegy</t>
  </si>
  <si>
    <t>Tartalék képzése váratlan kiadásokra</t>
  </si>
  <si>
    <t>Laptop</t>
  </si>
  <si>
    <t>Flipchart tábla</t>
  </si>
  <si>
    <t>Hűtő 2db</t>
  </si>
  <si>
    <t>Benzin</t>
  </si>
  <si>
    <t>Pohár- és tányérmosogatógép</t>
  </si>
  <si>
    <t>Vállalkozás működéséhez szükséges</t>
  </si>
  <si>
    <t>vásárlás</t>
  </si>
  <si>
    <t>idegenforgalmi szakmenedzser</t>
  </si>
  <si>
    <t>Anyagbeszerzés</t>
  </si>
  <si>
    <t>Karbantartási költségek</t>
  </si>
  <si>
    <t>Igénybevett szolgáltatások értéke (52)</t>
  </si>
  <si>
    <t>A tervezettnél alacsonyabb bevétel</t>
  </si>
  <si>
    <t xml:space="preserve">Akciók és vevőszerző promóciók bevezetése </t>
  </si>
  <si>
    <t>egyéb C típusú tábla</t>
  </si>
  <si>
    <t>8230 - Konferencia, kereskedelmi bemutató szervezése</t>
  </si>
  <si>
    <t>ÖVTJ 5630 Italszolgáltatás</t>
  </si>
  <si>
    <t>5630 Italszolgáltatás</t>
  </si>
  <si>
    <t>Projekt lezárása</t>
  </si>
  <si>
    <t>Köztes elszámolás benyújtása</t>
  </si>
  <si>
    <t>Anyagbeszerzések</t>
  </si>
  <si>
    <t>Kiadásaim egy része elszámolható költség: saját bérem 12 hónapra 2166000 Ft, a nyilvánosságra 6000 Ft-ot terveztem, a fennmaradó összegből 561333 Ft értékben eszközöket vásárolnék, és további 600000 Ft-ot tesz ki az üzlet bérleti díja. A nem elszámolható költségek között került elszámolásra a rezsi, a kata.</t>
  </si>
  <si>
    <t>https://www.facebook.com/venbagolykulturkocsma, https://www.facebook.com/hippolitterrace/?ref=br_rs</t>
  </si>
  <si>
    <t>A potenciális ügyfeleket szórólapokkal, facebook reklámmal és az üzlet falán elhelyezett táblával érem el. Telefonos, vagy e-mailes egyeztetés után személyes találkozó keretein belül lehet megtekinteni a helyszínt. Itt pontosításra kerülnek a megrendelni kívánt szolgáltatások, a helyszín elrendezésére irányuló kérések, a szükséges technikai feltételek, valamint a vendéglátással kapcsolatos igények. A rendezvényekre az italokat a vállalkozás biztosítja, melyet helyi nagykerekből szerzünk be. Az ételeket a vendégek igényeinek megfelelően pékségektől, cukrászdáktól és helyi éttermektől rendelem majd. A személyes találkozás legfőbb célja az lesz, hogy a lehető leginkább a vendég elképzeléseinek megfelelő szolgáltatást nyújtsam. A vendégek a helyszínen készpénzben és bankkártyával is rendezhetik számlájukat. Céges ügyfeleknél jellemző lesz, hogy szerződésbe foglaljuk a megrendelt szolgáltatást, számlájukat átutalással is rendezhetik. A vendégek igényeinek kielégítésének, precíz munkavégzésnek köszönhetően várhatóan sok visszatérő vásárlóval számolhatok.</t>
  </si>
  <si>
    <t xml:space="preserve">Vállalkozásomat Egerben szeretném elindítani. Célom egy olyan vendéglátóegység üzemeltetése, amely céges, családi és egyéb csoportos rendezvények lebonyolítására specializálódott. Vendéglátó- és idegenforgalmi szakmenedzser szakmával rendelkezem, nyolc éve dolgozom vendéglátásban. Előző munkahelyeimen tapasztaltam, hogy nagy igény lenne városunkban egy olyan vendéglátó egységre, amely nem csupán italmérést végez, hanem alkalmas céges, családi, vagy bármilyen csoportos rendezvény lebonyolítására is. Minőségi szolgáltatást szeretnék nyújtani a megrendelőknek. Szeretnék folyamatosan bővülő ügyfélkörrel, valamint elégedett visszatérő vásárlókkal rendelkezni. A jövőben szeretném bővíteni a tevékenységemet külső helyszíni rendezvények megszervezésével és lebonyolításával, szeretnék alkalmazottakat fölvenni, hogy bővíteni tudjuk a megrendelőink körét. Régóta vágyom saját üzletre, ahol eddigi tapasztalataimat kamatoztatva teremthetek meg valami újat, megvalósíthatom az ötleteimet és elismerést szerezhetek. Rövidtávon biztosítani szeretném a vállalkozás állandó működését, megtalálni a megfelelő beszállítókat, megkezdeni egy állandó elégedett vendégkör kialakítását. Középtávon újabb szolgáltatásokkal nagyobb piaci részesedést kívánok szerezni. A potenciális ügyfeleket szórólapokkal, facebook reklámmal és az üzlet falán elhelyezett táblával érem el. Telefonos, vagy e-mailes egyeztetés után személyes találkozó keretein belül lehet megtekinteni a helyszínt. Itt pontosításra kerülnek a megrendelni kívánt szolgáltatások, a helyszín elrendezésére irányuló kérések, a szükséges technikai feltételek, valamint a vendéglátással kapcsolatos igények. A rendezvényekre az italokat a vállalkozás biztosítja, melyet helyi nagykerekből szerzünk be. Az ételeket a vendégek igényeinek megfelelően pékségektől, cukrászdáktól és helyi éttermektől rendelem majd. A személyes találkozás legfőbb célja az lesz, hogy a lehető leginkább a vendég elképzeléseinek megfelelő szolgáltatást nyújtsam. Célcsoportom a 18-70 év közötti személyek, valamint cégek, önszerveződő csoportok, baráti társaságok, diákkörök, családok. A vendégek a helyszínen készpénzben és bankkártyával is rendezhetik számlájukat. Céges ügyfeleknél jellemző lesz, hogy szerződésbe foglaljuk a megrendelt szolgáltatást, számlájukat átutalással is rendezhetik. A vendégek igényeinek kielégítésének, precíz munkavégzésnek köszönhetően várhatóan sok visszatérő vásárlóval számolhatok.
Bevételemeimet óvatosan terveztem, indulásnál 350 ezer Ft-tal kalkuláltam, ami a következő hónapra 400 ezer Ft-ra emelkedik. Január és március között tapasztalataim szerint holtszezon következik, amely után folyamatos növekedéssel számolok. 2019 decemberében elérhetőnek tartom  elérhetőnek tartom a havi 450 ezer Ft-os árbevételt, amit 2021-ben éves szinten 6,5 millió Ft-ra szeretnék növelni.
Kiadásaim egy része elszámolható költség: saját bérem 12 hónapra 2166000 Ft, a nyilvánosságra 6000 Ft-ot terveztem, a fennmaradó összegből 561333 Ft értékben eszközöket vásárolnék, és további 600000 Ft-ot tesz ki az üzlet bérleti díja. A nem elszámolható költségek között került elszámolásra a rezsi, a kata.
A vállalkozás alapítását a 3 millió Ft vissza nem térítendő támogatással tervezem, melyhez a 333 333 Ft önerővel rendelkezem.
</t>
  </si>
  <si>
    <t>Az első hónapban két rendezvényt terveztem, indulásnál 350 ezer Ft-tal kalkuláltam, ami a következő hónapra 400 ezer Ft-ra emelkedik. Január és március között tapasztalataim szerint holtszezon következik, amely után folyamatos növekedéssel számolok. 2019 decemberében elérhetőnek tartom  elérhetőnek tartom a havi 450 ezer Ft-os árbevételt, amit 2021-ben éves szinten 6,5 millió Ft-ra szeretnék növelni.</t>
  </si>
  <si>
    <t>Bérleti díj</t>
  </si>
  <si>
    <t>Záró elszámolás</t>
  </si>
  <si>
    <t>Kötelező tájékoztatás és nyilvánosság (egyszeri)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</si>
  <si>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</si>
  <si>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</si>
  <si>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</si>
  <si>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</si>
  <si>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</si>
  <si>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</si>
  <si>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</si>
  <si>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</si>
  <si>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</si>
  <si>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</si>
  <si>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</si>
  <si>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</si>
  <si>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</si>
  <si>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</si>
  <si>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</si>
  <si>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</si>
  <si>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</si>
  <si>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</si>
  <si>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</si>
  <si>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</si>
  <si>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</si>
  <si>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Dudás Tímea</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</si>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</sst>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s>
  <fonts count="117">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7" fillId="0" borderId="0" applyNumberFormat="0" applyFill="0" applyBorder="0" applyAlignment="0" applyProtection="0"/>
    <xf numFmtId="0" fontId="79" fillId="0" borderId="0"/>
    <xf numFmtId="43" fontId="34" fillId="0" borderId="0" applyFont="0" applyFill="0" applyBorder="0" applyAlignment="0" applyProtection="0"/>
    <xf numFmtId="44" fontId="34" fillId="0" borderId="0" applyFont="0" applyFill="0" applyBorder="0" applyAlignment="0" applyProtection="0"/>
    <xf numFmtId="0" fontId="84" fillId="15" borderId="0" applyNumberFormat="0" applyBorder="0" applyAlignment="0" applyProtection="0"/>
  </cellStyleXfs>
  <cellXfs count="147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5"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2" fillId="5" borderId="0" xfId="5" applyFont="1" applyFill="1" applyAlignment="1" applyProtection="1">
      <alignment horizontal="right" vertical="center"/>
      <protection hidden="1"/>
    </xf>
    <xf numFmtId="49" fontId="72" fillId="0" borderId="0" xfId="5" applyNumberFormat="1" applyFont="1" applyAlignment="1" applyProtection="1">
      <alignment horizontal="left" vertical="center"/>
      <protection hidden="1"/>
    </xf>
    <xf numFmtId="44" fontId="73" fillId="5" borderId="0" xfId="9" applyNumberFormat="1" applyFont="1" applyFill="1" applyAlignment="1" applyProtection="1">
      <alignment horizontal="right" vertical="center"/>
      <protection hidden="1"/>
    </xf>
    <xf numFmtId="44" fontId="74" fillId="5" borderId="0" xfId="9" applyNumberFormat="1" applyFont="1" applyFill="1" applyAlignment="1" applyProtection="1">
      <alignment vertical="center"/>
      <protection hidden="1"/>
    </xf>
    <xf numFmtId="0" fontId="34" fillId="0" borderId="0" xfId="5" applyProtection="1">
      <protection hidden="1"/>
    </xf>
    <xf numFmtId="22" fontId="76" fillId="5" borderId="0" xfId="5" applyNumberFormat="1" applyFont="1" applyFill="1" applyAlignment="1" applyProtection="1">
      <alignment horizontal="left" vertical="center"/>
      <protection hidden="1"/>
    </xf>
    <xf numFmtId="0" fontId="78" fillId="5" borderId="0" xfId="6" applyFont="1" applyFill="1" applyAlignment="1" applyProtection="1">
      <alignment horizontal="left" vertical="center"/>
      <protection hidden="1"/>
    </xf>
    <xf numFmtId="44" fontId="72"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3" fillId="5" borderId="0" xfId="9" applyNumberFormat="1" applyFont="1" applyFill="1" applyProtection="1">
      <protection hidden="1"/>
    </xf>
    <xf numFmtId="0" fontId="76" fillId="0" borderId="0" xfId="5" applyFont="1" applyAlignment="1" applyProtection="1">
      <alignment horizontal="center" vertical="center"/>
      <protection hidden="1"/>
    </xf>
    <xf numFmtId="0" fontId="74"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4"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4"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79" fillId="7" borderId="17" xfId="7" applyNumberFormat="1" applyFill="1" applyBorder="1" applyAlignment="1" applyProtection="1">
      <alignment vertical="center"/>
      <protection hidden="1"/>
    </xf>
    <xf numFmtId="43" fontId="74" fillId="0" borderId="0" xfId="4" applyFont="1" applyBorder="1" applyAlignment="1" applyProtection="1">
      <alignment horizontal="center" vertical="center" wrapText="1"/>
      <protection hidden="1"/>
    </xf>
    <xf numFmtId="0" fontId="70" fillId="5" borderId="0" xfId="5" applyFont="1" applyFill="1" applyBorder="1" applyAlignment="1" applyProtection="1">
      <alignment vertical="center"/>
      <protection hidden="1"/>
    </xf>
    <xf numFmtId="165" fontId="75" fillId="0" borderId="17" xfId="5" applyNumberFormat="1" applyFont="1" applyBorder="1" applyAlignment="1" applyProtection="1">
      <alignment horizontal="center" vertical="center" wrapText="1"/>
      <protection hidden="1"/>
    </xf>
    <xf numFmtId="165" fontId="80"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79"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79"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4" fillId="5" borderId="0" xfId="5" applyFont="1" applyFill="1" applyProtection="1">
      <protection hidden="1"/>
    </xf>
    <xf numFmtId="165" fontId="74" fillId="5" borderId="0" xfId="7" applyNumberFormat="1" applyFont="1" applyFill="1" applyProtection="1">
      <protection hidden="1"/>
    </xf>
    <xf numFmtId="0" fontId="74" fillId="5" borderId="0" xfId="5" applyFont="1" applyFill="1" applyAlignment="1" applyProtection="1">
      <alignment vertical="center"/>
      <protection hidden="1"/>
    </xf>
    <xf numFmtId="0" fontId="34" fillId="5" borderId="0" xfId="5" applyFill="1" applyAlignment="1" applyProtection="1">
      <alignment wrapText="1"/>
      <protection hidden="1"/>
    </xf>
    <xf numFmtId="0" fontId="81" fillId="5" borderId="0" xfId="5" applyFont="1" applyFill="1" applyProtection="1">
      <protection hidden="1"/>
    </xf>
    <xf numFmtId="8" fontId="81" fillId="5" borderId="0" xfId="5" applyNumberFormat="1" applyFont="1" applyFill="1" applyProtection="1">
      <protection hidden="1"/>
    </xf>
    <xf numFmtId="0" fontId="76" fillId="5" borderId="0" xfId="5" applyFont="1" applyFill="1" applyProtection="1">
      <protection hidden="1"/>
    </xf>
    <xf numFmtId="3" fontId="81" fillId="5" borderId="0" xfId="5" applyNumberFormat="1" applyFont="1" applyFill="1" applyProtection="1">
      <protection hidden="1"/>
    </xf>
    <xf numFmtId="8" fontId="76" fillId="5" borderId="0" xfId="5" applyNumberFormat="1" applyFont="1" applyFill="1" applyProtection="1">
      <protection hidden="1"/>
    </xf>
    <xf numFmtId="43" fontId="74" fillId="0" borderId="30" xfId="4" applyFont="1" applyBorder="1" applyAlignment="1" applyProtection="1">
      <alignment horizontal="center" vertical="center" wrapText="1"/>
      <protection hidden="1"/>
    </xf>
    <xf numFmtId="43" fontId="74" fillId="0" borderId="30" xfId="8" applyFont="1" applyBorder="1" applyAlignment="1" applyProtection="1">
      <alignment horizontal="center" vertical="center" wrapText="1"/>
      <protection hidden="1"/>
    </xf>
    <xf numFmtId="43" fontId="74" fillId="0" borderId="185" xfId="4" applyFont="1" applyBorder="1" applyAlignment="1" applyProtection="1">
      <alignment horizontal="center" vertical="center" wrapText="1"/>
      <protection hidden="1"/>
    </xf>
    <xf numFmtId="43" fontId="74" fillId="0" borderId="185" xfId="8" applyFont="1" applyBorder="1" applyAlignment="1" applyProtection="1">
      <alignment horizontal="center" vertical="center" wrapText="1"/>
      <protection hidden="1"/>
    </xf>
    <xf numFmtId="0" fontId="70" fillId="5" borderId="0" xfId="5" applyFont="1" applyFill="1" applyProtection="1">
      <protection hidden="1"/>
    </xf>
    <xf numFmtId="0" fontId="82" fillId="5" borderId="0" xfId="5" applyFont="1" applyFill="1" applyAlignment="1" applyProtection="1">
      <alignment vertical="center"/>
      <protection hidden="1"/>
    </xf>
    <xf numFmtId="0" fontId="82" fillId="5" borderId="0" xfId="5" applyFont="1" applyFill="1" applyProtection="1">
      <protection hidden="1"/>
    </xf>
    <xf numFmtId="0" fontId="83" fillId="5" borderId="0" xfId="5" applyFont="1" applyFill="1" applyProtection="1">
      <protection hidden="1"/>
    </xf>
    <xf numFmtId="0" fontId="83" fillId="5" borderId="0" xfId="5" applyFont="1" applyFill="1" applyAlignment="1" applyProtection="1">
      <alignment vertical="center"/>
      <protection hidden="1"/>
    </xf>
    <xf numFmtId="44" fontId="83" fillId="5" borderId="0" xfId="9" applyNumberFormat="1" applyFont="1" applyFill="1" applyBorder="1" applyAlignment="1" applyProtection="1">
      <alignment vertical="center"/>
      <protection hidden="1"/>
    </xf>
    <xf numFmtId="44" fontId="82"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64" fontId="31" fillId="5" borderId="24" xfId="0" applyNumberFormat="1" applyFont="1" applyFill="1" applyBorder="1" applyAlignment="1" applyProtection="1">
      <alignment horizontal="center" vertical="center" wrapText="1"/>
      <protection locked="0"/>
    </xf>
    <xf numFmtId="0" fontId="46" fillId="0" borderId="14" xfId="0" applyNumberFormat="1" applyFont="1" applyFill="1" applyBorder="1" applyAlignment="1" applyProtection="1">
      <alignment horizontal="center" vertical="center" wrapText="1"/>
      <protection locked="0"/>
    </xf>
    <xf numFmtId="0" fontId="7" fillId="7" borderId="57" xfId="0" applyFont="1" applyFill="1" applyBorder="1" applyAlignment="1" applyProtection="1">
      <alignment vertical="center"/>
      <protection locked="0"/>
    </xf>
    <xf numFmtId="164" fontId="7" fillId="7" borderId="22" xfId="0" applyNumberFormat="1" applyFont="1" applyFill="1" applyBorder="1" applyAlignment="1" applyProtection="1">
      <alignment vertical="center"/>
      <protection locked="0"/>
    </xf>
    <xf numFmtId="14" fontId="7" fillId="5" borderId="47" xfId="0" applyNumberFormat="1" applyFont="1" applyFill="1" applyBorder="1" applyAlignment="1" applyProtection="1">
      <alignment vertical="center" wrapText="1"/>
      <protection locked="0"/>
    </xf>
    <xf numFmtId="0" fontId="7" fillId="5" borderId="139" xfId="0" applyFont="1" applyFill="1" applyBorder="1" applyAlignment="1" applyProtection="1">
      <alignment vertical="center"/>
      <protection locked="0"/>
    </xf>
    <xf numFmtId="0" fontId="39" fillId="5" borderId="17" xfId="0" applyFont="1" applyFill="1" applyBorder="1" applyAlignment="1" applyProtection="1">
      <alignment horizontal="center" vertical="center" wrapText="1"/>
      <protection locked="0"/>
    </xf>
    <xf numFmtId="3" fontId="7" fillId="5" borderId="44" xfId="0" applyNumberFormat="1" applyFont="1" applyFill="1" applyBorder="1" applyAlignment="1">
      <alignment horizontal="right" vertical="center" wrapText="1"/>
    </xf>
    <xf numFmtId="3" fontId="7" fillId="5" borderId="43" xfId="0" applyNumberFormat="1" applyFont="1" applyFill="1" applyBorder="1" applyAlignment="1">
      <alignment horizontal="right" vertical="center" wrapText="1"/>
    </xf>
    <xf numFmtId="3" fontId="17" fillId="5" borderId="43" xfId="0" applyNumberFormat="1" applyFont="1" applyFill="1" applyBorder="1" applyAlignment="1">
      <alignment horizontal="right" vertical="center" wrapText="1"/>
    </xf>
    <xf numFmtId="3" fontId="17" fillId="5" borderId="176" xfId="0" applyNumberFormat="1" applyFont="1" applyFill="1" applyBorder="1" applyAlignment="1">
      <alignment horizontal="right" vertical="center" wrapText="1"/>
    </xf>
    <xf numFmtId="3" fontId="7" fillId="5" borderId="14" xfId="0" applyNumberFormat="1" applyFont="1" applyFill="1" applyBorder="1" applyAlignment="1" applyProtection="1">
      <alignment horizontal="right"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98"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31" fillId="5" borderId="24" xfId="0" applyNumberFormat="1" applyFont="1" applyFill="1" applyBorder="1" applyAlignment="1" applyProtection="1">
      <alignment horizontal="center" vertical="center" wrapText="1"/>
      <protection locked="0"/>
    </xf>
    <xf numFmtId="164" fontId="31"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4" fillId="5" borderId="0" xfId="5" applyFont="1" applyFill="1" applyAlignment="1" applyProtection="1">
      <alignment horizontal="center"/>
      <protection hidden="1"/>
    </xf>
    <xf numFmtId="165" fontId="79" fillId="0" borderId="30" xfId="7" applyNumberFormat="1" applyFill="1" applyBorder="1" applyAlignment="1" applyProtection="1">
      <alignment horizontal="center" vertical="center"/>
      <protection hidden="1"/>
    </xf>
    <xf numFmtId="165" fontId="79" fillId="0" borderId="185" xfId="7" applyNumberFormat="1" applyFill="1" applyBorder="1" applyAlignment="1" applyProtection="1">
      <alignment horizontal="center" vertical="center"/>
      <protection hidden="1"/>
    </xf>
    <xf numFmtId="165" fontId="79" fillId="0" borderId="44" xfId="7" applyNumberFormat="1" applyFill="1" applyBorder="1" applyAlignment="1" applyProtection="1">
      <alignment horizontal="center" vertical="center"/>
      <protection hidden="1"/>
    </xf>
    <xf numFmtId="43" fontId="74"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6"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79" fillId="7" borderId="30" xfId="7" applyNumberFormat="1" applyFill="1" applyBorder="1" applyAlignment="1" applyProtection="1">
      <alignment horizontal="center" vertical="center"/>
      <protection hidden="1"/>
    </xf>
    <xf numFmtId="165" fontId="79" fillId="7" borderId="44" xfId="7" applyNumberFormat="1" applyFill="1" applyBorder="1" applyAlignment="1" applyProtection="1">
      <alignment horizontal="center" vertical="center"/>
      <protection hidden="1"/>
    </xf>
    <xf numFmtId="0" fontId="71" fillId="5" borderId="0" xfId="5" applyFont="1" applyFill="1" applyAlignment="1" applyProtection="1">
      <alignment horizontal="center" vertical="center"/>
      <protection hidden="1"/>
    </xf>
    <xf numFmtId="0" fontId="81" fillId="5" borderId="0" xfId="5" applyFont="1" applyFill="1" applyAlignment="1" applyProtection="1">
      <alignment horizontal="left" vertical="top" wrapText="1"/>
      <protection hidden="1"/>
    </xf>
    <xf numFmtId="0" fontId="81" fillId="5" borderId="0" xfId="5" applyFont="1" applyFill="1" applyAlignment="1" applyProtection="1">
      <alignment horizontal="left" vertical="top"/>
      <protection hidden="1"/>
    </xf>
    <xf numFmtId="165" fontId="75" fillId="0" borderId="66" xfId="5" applyNumberFormat="1" applyFont="1" applyBorder="1" applyAlignment="1" applyProtection="1">
      <alignment horizontal="center" vertical="center" wrapText="1"/>
      <protection hidden="1"/>
    </xf>
    <xf numFmtId="165" fontId="75" fillId="0" borderId="58" xfId="5" applyNumberFormat="1" applyFont="1" applyBorder="1" applyAlignment="1" applyProtection="1">
      <alignment horizontal="center" vertical="center" wrapText="1"/>
      <protection hidden="1"/>
    </xf>
    <xf numFmtId="165" fontId="75" fillId="0" borderId="65" xfId="5" applyNumberFormat="1" applyFont="1" applyBorder="1" applyAlignment="1" applyProtection="1">
      <alignment horizontal="center" vertical="center" wrapText="1"/>
      <protection hidden="1"/>
    </xf>
    <xf numFmtId="44" fontId="73" fillId="5" borderId="0" xfId="9" applyNumberFormat="1" applyFont="1" applyFill="1" applyAlignment="1" applyProtection="1">
      <alignment horizontal="center" vertical="center"/>
      <protection hidden="1"/>
    </xf>
    <xf numFmtId="44" fontId="74" fillId="5" borderId="0" xfId="9" applyNumberFormat="1" applyFont="1" applyFill="1" applyAlignment="1" applyProtection="1">
      <alignment horizontal="center" vertical="center"/>
      <protection hidden="1"/>
    </xf>
    <xf numFmtId="0" fontId="69" fillId="0" borderId="183" xfId="5" applyFont="1" applyBorder="1" applyAlignment="1" applyProtection="1">
      <alignment horizontal="center" vertical="center" wrapText="1"/>
      <protection hidden="1"/>
    </xf>
    <xf numFmtId="0" fontId="85" fillId="0" borderId="0" xfId="0" applyFont="1" applyAlignment="1">
      <alignment horizontal="left" vertical="center" indent="1"/>
    </xf>
    <xf numFmtId="0" fontId="85" fillId="0" borderId="0" xfId="0" applyFont="1" applyAlignment="1">
      <alignment horizontal="center" vertical="center"/>
    </xf>
    <xf numFmtId="0" fontId="86" fillId="0" borderId="0" xfId="0" applyFont="1" applyAlignment="1">
      <alignment vertical="center"/>
    </xf>
    <xf numFmtId="0" fontId="87" fillId="0" borderId="0" xfId="0" applyFont="1" applyAlignment="1">
      <alignment vertical="center"/>
    </xf>
    <xf numFmtId="0" fontId="87" fillId="0" borderId="0" xfId="0" applyFont="1" applyAlignment="1">
      <alignment horizontal="center" vertical="center" wrapText="1"/>
    </xf>
    <xf numFmtId="0" fontId="85" fillId="0" borderId="0" xfId="0" applyFont="1" applyAlignment="1">
      <alignment horizontal="center" vertical="center" wrapText="1"/>
    </xf>
    <xf numFmtId="0" fontId="88" fillId="0" borderId="3" xfId="0" applyFont="1" applyBorder="1" applyAlignment="1">
      <alignment horizontal="center" vertical="center" wrapText="1"/>
    </xf>
    <xf numFmtId="0" fontId="88" fillId="0" borderId="5" xfId="0" applyFont="1" applyBorder="1" applyAlignment="1">
      <alignment horizontal="center" vertical="center"/>
    </xf>
    <xf numFmtId="0" fontId="88" fillId="0" borderId="4" xfId="0" applyFont="1" applyBorder="1" applyAlignment="1">
      <alignment horizontal="center" vertical="center"/>
    </xf>
    <xf numFmtId="0" fontId="88" fillId="0" borderId="7"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63" xfId="0" applyFont="1" applyBorder="1" applyAlignment="1">
      <alignment horizontal="center" vertical="center" wrapText="1"/>
    </xf>
    <xf numFmtId="0" fontId="88" fillId="0" borderId="64" xfId="0" applyFont="1" applyBorder="1" applyAlignment="1">
      <alignment horizontal="center" vertical="center" wrapText="1"/>
    </xf>
    <xf numFmtId="0" fontId="89" fillId="0" borderId="0" xfId="0" applyFont="1" applyAlignment="1">
      <alignment horizontal="left" vertical="center" indent="1"/>
    </xf>
    <xf numFmtId="0" fontId="88" fillId="0" borderId="3" xfId="0" applyFont="1" applyBorder="1" applyAlignment="1">
      <alignment horizontal="center" vertical="center"/>
    </xf>
    <xf numFmtId="0" fontId="90" fillId="0" borderId="0" xfId="0" applyFont="1" applyAlignment="1">
      <alignment vertical="center"/>
    </xf>
    <xf numFmtId="0" fontId="89" fillId="0" borderId="0" xfId="0" applyFont="1" applyAlignment="1">
      <alignment vertical="center"/>
    </xf>
    <xf numFmtId="0" fontId="89" fillId="0" borderId="3" xfId="0" applyFont="1" applyBorder="1" applyAlignment="1">
      <alignment horizontal="center" vertical="center" wrapText="1"/>
    </xf>
    <xf numFmtId="0" fontId="89" fillId="0" borderId="47" xfId="0" applyFont="1" applyBorder="1" applyAlignment="1">
      <alignment horizontal="center" vertical="center" wrapText="1"/>
    </xf>
    <xf numFmtId="0" fontId="89" fillId="0" borderId="48" xfId="0" applyFont="1" applyBorder="1" applyAlignment="1">
      <alignment horizontal="center" vertical="center" wrapText="1"/>
    </xf>
    <xf numFmtId="0" fontId="91" fillId="16" borderId="18" xfId="0" applyFont="1" applyFill="1" applyBorder="1" applyAlignment="1">
      <alignment horizontal="center" vertical="center" wrapText="1"/>
    </xf>
    <xf numFmtId="0" fontId="91" fillId="16" borderId="19" xfId="0" applyFont="1" applyFill="1" applyBorder="1" applyAlignment="1">
      <alignment horizontal="center" vertical="center"/>
    </xf>
    <xf numFmtId="0" fontId="93" fillId="16" borderId="19" xfId="0" applyFont="1" applyFill="1" applyBorder="1" applyAlignment="1">
      <alignment horizontal="center" vertical="center"/>
    </xf>
    <xf numFmtId="0" fontId="85" fillId="13" borderId="19" xfId="0" applyFont="1" applyFill="1" applyBorder="1" applyAlignment="1">
      <alignment horizontal="center" vertical="center" wrapText="1"/>
    </xf>
    <xf numFmtId="0" fontId="91" fillId="13" borderId="19" xfId="0" applyFont="1" applyFill="1" applyBorder="1" applyAlignment="1">
      <alignment horizontal="center" vertical="center"/>
    </xf>
    <xf numFmtId="0" fontId="93" fillId="13" borderId="19" xfId="0" applyFont="1" applyFill="1" applyBorder="1" applyAlignment="1">
      <alignment horizontal="center" vertical="center"/>
    </xf>
    <xf numFmtId="0" fontId="85" fillId="17" borderId="19" xfId="0" applyFont="1" applyFill="1" applyBorder="1" applyAlignment="1">
      <alignment horizontal="center" vertical="center" wrapText="1"/>
    </xf>
    <xf numFmtId="0" fontId="91" fillId="17" borderId="19" xfId="0" applyFont="1" applyFill="1" applyBorder="1" applyAlignment="1">
      <alignment horizontal="center" vertical="center" wrapText="1"/>
    </xf>
    <xf numFmtId="0" fontId="93" fillId="17" borderId="20" xfId="0" applyFont="1" applyFill="1" applyBorder="1" applyAlignment="1">
      <alignment horizontal="center" vertical="center" wrapText="1"/>
    </xf>
    <xf numFmtId="0" fontId="88" fillId="0" borderId="18" xfId="0" applyFont="1" applyBorder="1" applyAlignment="1">
      <alignment horizontal="left" vertical="center" indent="1"/>
    </xf>
    <xf numFmtId="0" fontId="95" fillId="18" borderId="92" xfId="0" applyFont="1" applyFill="1" applyBorder="1" applyAlignment="1">
      <alignment horizontal="left" vertical="center" wrapText="1" indent="2"/>
    </xf>
    <xf numFmtId="0" fontId="95" fillId="18" borderId="63" xfId="0" applyFont="1" applyFill="1" applyBorder="1" applyAlignment="1">
      <alignment horizontal="left" vertical="center" wrapText="1" indent="2"/>
    </xf>
    <xf numFmtId="0" fontId="95" fillId="18" borderId="64" xfId="0" applyFont="1" applyFill="1" applyBorder="1" applyAlignment="1">
      <alignment horizontal="left" vertical="center" wrapText="1" indent="2"/>
    </xf>
    <xf numFmtId="0" fontId="91" fillId="16" borderId="21" xfId="0" applyFont="1" applyFill="1" applyBorder="1" applyAlignment="1">
      <alignment horizontal="center" vertical="center" wrapText="1"/>
    </xf>
    <xf numFmtId="0" fontId="91" fillId="16" borderId="17" xfId="0" applyFont="1" applyFill="1" applyBorder="1" applyAlignment="1">
      <alignment horizontal="center" vertical="center"/>
    </xf>
    <xf numFmtId="0" fontId="93" fillId="16" borderId="17" xfId="0" applyFont="1" applyFill="1" applyBorder="1" applyAlignment="1">
      <alignment horizontal="center" vertical="center" wrapText="1"/>
    </xf>
    <xf numFmtId="0" fontId="85" fillId="13" borderId="17" xfId="0" applyFont="1" applyFill="1" applyBorder="1" applyAlignment="1">
      <alignment horizontal="center" vertical="center" wrapText="1"/>
    </xf>
    <xf numFmtId="0" fontId="91" fillId="13"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5" fillId="17" borderId="17" xfId="0" applyFont="1" applyFill="1" applyBorder="1" applyAlignment="1">
      <alignment horizontal="center" vertical="center" wrapText="1"/>
    </xf>
    <xf numFmtId="0" fontId="91" fillId="17" borderId="17" xfId="0" applyFont="1" applyFill="1" applyBorder="1" applyAlignment="1">
      <alignment horizontal="center" vertical="center" wrapText="1"/>
    </xf>
    <xf numFmtId="0" fontId="93" fillId="17" borderId="22" xfId="0" applyFont="1" applyFill="1" applyBorder="1" applyAlignment="1">
      <alignment horizontal="center" vertical="center" wrapText="1"/>
    </xf>
    <xf numFmtId="0" fontId="88" fillId="0" borderId="21" xfId="0" applyFont="1" applyBorder="1" applyAlignment="1">
      <alignment horizontal="left" vertical="center" indent="1"/>
    </xf>
    <xf numFmtId="14" fontId="95" fillId="18" borderId="66" xfId="0" applyNumberFormat="1" applyFont="1" applyFill="1" applyBorder="1" applyAlignment="1">
      <alignment horizontal="left" vertical="center" indent="2"/>
    </xf>
    <xf numFmtId="0" fontId="95" fillId="18" borderId="58" xfId="0" applyFont="1" applyFill="1" applyBorder="1" applyAlignment="1">
      <alignment horizontal="left" vertical="center" indent="2"/>
    </xf>
    <xf numFmtId="0" fontId="95" fillId="18" borderId="59" xfId="0" applyFont="1" applyFill="1" applyBorder="1" applyAlignment="1">
      <alignment horizontal="left" vertical="center" indent="2"/>
    </xf>
    <xf numFmtId="0" fontId="93" fillId="16" borderId="17" xfId="0" applyFont="1" applyFill="1" applyBorder="1" applyAlignment="1">
      <alignment horizontal="center" vertical="center"/>
    </xf>
    <xf numFmtId="0" fontId="91" fillId="13" borderId="17" xfId="0" applyFont="1" applyFill="1" applyBorder="1" applyAlignment="1">
      <alignment horizontal="center" vertical="center" wrapText="1"/>
    </xf>
    <xf numFmtId="0" fontId="86"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7" fillId="0" borderId="0" xfId="0" applyFont="1"/>
    <xf numFmtId="0" fontId="91" fillId="16" borderId="23" xfId="0" applyFont="1" applyFill="1" applyBorder="1" applyAlignment="1">
      <alignment horizontal="center" vertical="center" wrapText="1"/>
    </xf>
    <xf numFmtId="0" fontId="91" fillId="16" borderId="24" xfId="0" applyFont="1" applyFill="1" applyBorder="1" applyAlignment="1">
      <alignment horizontal="center" vertical="center"/>
    </xf>
    <xf numFmtId="0" fontId="93" fillId="16" borderId="24" xfId="0" applyFont="1" applyFill="1" applyBorder="1" applyAlignment="1">
      <alignment horizontal="center" vertical="center"/>
    </xf>
    <xf numFmtId="0" fontId="89" fillId="13" borderId="24" xfId="0" applyFont="1" applyFill="1" applyBorder="1" applyAlignment="1">
      <alignment horizontal="center" vertical="center" wrapText="1"/>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89" fillId="17" borderId="24" xfId="0" applyFont="1" applyFill="1" applyBorder="1" applyAlignment="1">
      <alignment horizontal="center" vertical="center" wrapText="1"/>
    </xf>
    <xf numFmtId="0" fontId="91" fillId="17" borderId="24" xfId="0" applyFont="1" applyFill="1" applyBorder="1" applyAlignment="1">
      <alignment horizontal="center" vertical="center" wrapText="1"/>
    </xf>
    <xf numFmtId="0" fontId="93" fillId="17" borderId="25" xfId="0" applyFont="1" applyFill="1" applyBorder="1" applyAlignment="1">
      <alignment horizontal="center" vertical="center" wrapText="1"/>
    </xf>
    <xf numFmtId="0" fontId="95" fillId="7" borderId="66" xfId="0" applyFont="1" applyFill="1" applyBorder="1" applyAlignment="1">
      <alignment horizontal="left" vertical="center" indent="2"/>
    </xf>
    <xf numFmtId="0" fontId="95" fillId="7" borderId="58" xfId="0" applyFont="1" applyFill="1" applyBorder="1" applyAlignment="1">
      <alignment horizontal="left" vertical="center" indent="2"/>
    </xf>
    <xf numFmtId="0" fontId="95" fillId="7" borderId="59" xfId="0" applyFont="1" applyFill="1" applyBorder="1" applyAlignment="1">
      <alignment horizontal="left" vertical="center" indent="2"/>
    </xf>
    <xf numFmtId="0" fontId="89" fillId="16" borderId="43" xfId="0" applyFont="1" applyFill="1" applyBorder="1" applyAlignment="1">
      <alignment horizontal="center" vertical="center" wrapText="1"/>
    </xf>
    <xf numFmtId="0" fontId="91" fillId="16" borderId="44" xfId="0" applyFont="1" applyFill="1" applyBorder="1" applyAlignment="1">
      <alignment horizontal="center" vertical="center" wrapText="1"/>
    </xf>
    <xf numFmtId="0" fontId="93" fillId="16"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89" fillId="17" borderId="44" xfId="0" applyFont="1" applyFill="1" applyBorder="1" applyAlignment="1">
      <alignment horizontal="center" vertical="center" wrapText="1"/>
    </xf>
    <xf numFmtId="0" fontId="91" fillId="17" borderId="44" xfId="0" applyFont="1" applyFill="1" applyBorder="1" applyAlignment="1">
      <alignment horizontal="center" vertical="center"/>
    </xf>
    <xf numFmtId="0" fontId="93" fillId="17" borderId="45" xfId="0" applyFont="1" applyFill="1" applyBorder="1" applyAlignment="1">
      <alignment horizontal="center" vertical="center"/>
    </xf>
    <xf numFmtId="0" fontId="88" fillId="0" borderId="23" xfId="0" applyFont="1" applyBorder="1" applyAlignment="1">
      <alignment horizontal="left" vertical="center" indent="1"/>
    </xf>
    <xf numFmtId="0" fontId="95" fillId="7" borderId="89" xfId="0" applyFont="1" applyFill="1" applyBorder="1" applyAlignment="1">
      <alignment horizontal="left" vertical="center" indent="2"/>
    </xf>
    <xf numFmtId="0" fontId="95" fillId="7" borderId="54" xfId="0" applyFont="1" applyFill="1" applyBorder="1" applyAlignment="1">
      <alignment horizontal="left" vertical="center" indent="2"/>
    </xf>
    <xf numFmtId="0" fontId="95" fillId="7" borderId="56" xfId="0" applyFont="1" applyFill="1" applyBorder="1" applyAlignment="1">
      <alignment horizontal="left" vertical="center" indent="2"/>
    </xf>
    <xf numFmtId="0" fontId="96" fillId="16" borderId="21" xfId="10" applyFont="1" applyFill="1" applyBorder="1" applyAlignment="1">
      <alignment horizontal="center" vertical="center" wrapText="1"/>
    </xf>
    <xf numFmtId="0" fontId="97" fillId="16" borderId="17" xfId="10" applyFont="1" applyFill="1" applyBorder="1" applyAlignment="1">
      <alignment horizontal="center" vertical="center"/>
    </xf>
    <xf numFmtId="0" fontId="96" fillId="13" borderId="17" xfId="10" applyFont="1" applyFill="1" applyBorder="1" applyAlignment="1">
      <alignment horizontal="center" vertical="center" wrapText="1"/>
    </xf>
    <xf numFmtId="0" fontId="97" fillId="13" borderId="17" xfId="10" applyFont="1" applyFill="1" applyBorder="1" applyAlignment="1">
      <alignment horizontal="center" vertical="center"/>
    </xf>
    <xf numFmtId="0" fontId="98" fillId="13" borderId="17" xfId="10" applyFont="1" applyFill="1" applyBorder="1" applyAlignment="1">
      <alignment horizontal="center" vertical="center"/>
    </xf>
    <xf numFmtId="0" fontId="96" fillId="17" borderId="17" xfId="10" applyFont="1" applyFill="1" applyBorder="1" applyAlignment="1">
      <alignment horizontal="center" vertical="center" wrapText="1"/>
    </xf>
    <xf numFmtId="0" fontId="97" fillId="17" borderId="17" xfId="10" applyFont="1" applyFill="1" applyBorder="1" applyAlignment="1">
      <alignment horizontal="center" vertical="center"/>
    </xf>
    <xf numFmtId="0" fontId="99" fillId="17" borderId="22" xfId="10" applyFont="1" applyFill="1" applyBorder="1" applyAlignment="1">
      <alignment horizontal="center" vertical="center"/>
    </xf>
    <xf numFmtId="1" fontId="88" fillId="0" borderId="0" xfId="0" applyNumberFormat="1" applyFont="1" applyBorder="1" applyAlignment="1">
      <alignment horizontal="center" vertical="center"/>
    </xf>
    <xf numFmtId="1" fontId="100" fillId="0" borderId="0" xfId="0" applyNumberFormat="1" applyFont="1" applyBorder="1" applyAlignment="1">
      <alignment horizontal="center" vertical="center"/>
    </xf>
    <xf numFmtId="14" fontId="95" fillId="7" borderId="89" xfId="0" applyNumberFormat="1" applyFont="1" applyFill="1" applyBorder="1" applyAlignment="1">
      <alignment horizontal="left" vertical="center" indent="2"/>
    </xf>
    <xf numFmtId="14" fontId="95" fillId="7" borderId="54" xfId="0" applyNumberFormat="1" applyFont="1" applyFill="1" applyBorder="1" applyAlignment="1">
      <alignment horizontal="left" vertical="center" indent="2"/>
    </xf>
    <xf numFmtId="14" fontId="95" fillId="7" borderId="56" xfId="0" applyNumberFormat="1" applyFont="1" applyFill="1" applyBorder="1" applyAlignment="1">
      <alignment horizontal="left" vertical="center" indent="2"/>
    </xf>
    <xf numFmtId="1" fontId="89" fillId="16" borderId="23" xfId="0" applyNumberFormat="1" applyFont="1" applyFill="1" applyBorder="1" applyAlignment="1">
      <alignment horizontal="center" vertical="center" wrapText="1"/>
    </xf>
    <xf numFmtId="1" fontId="93" fillId="16" borderId="24" xfId="0" applyNumberFormat="1" applyFont="1" applyFill="1" applyBorder="1" applyAlignment="1">
      <alignment horizontal="center" vertical="center"/>
    </xf>
    <xf numFmtId="0" fontId="93" fillId="16" borderId="24" xfId="0" applyFont="1" applyFill="1" applyBorder="1" applyAlignment="1">
      <alignment horizontal="center" vertical="center" wrapText="1"/>
    </xf>
    <xf numFmtId="1" fontId="93" fillId="13" borderId="24" xfId="0" applyNumberFormat="1" applyFont="1" applyFill="1" applyBorder="1" applyAlignment="1">
      <alignment horizontal="center" vertical="center" wrapText="1"/>
    </xf>
    <xf numFmtId="1" fontId="91" fillId="13" borderId="24" xfId="0" applyNumberFormat="1" applyFont="1" applyFill="1" applyBorder="1" applyAlignment="1">
      <alignment horizontal="center" vertical="center"/>
    </xf>
    <xf numFmtId="1" fontId="93" fillId="13" borderId="24" xfId="0" applyNumberFormat="1" applyFont="1" applyFill="1" applyBorder="1" applyAlignment="1">
      <alignment horizontal="center" vertical="center"/>
    </xf>
    <xf numFmtId="1" fontId="93" fillId="17" borderId="24" xfId="0" applyNumberFormat="1" applyFont="1" applyFill="1" applyBorder="1" applyAlignment="1">
      <alignment horizontal="center" vertical="center" wrapText="1"/>
    </xf>
    <xf numFmtId="1" fontId="91" fillId="17" borderId="24" xfId="0" applyNumberFormat="1" applyFont="1" applyFill="1" applyBorder="1" applyAlignment="1">
      <alignment horizontal="center" vertical="center"/>
    </xf>
    <xf numFmtId="1" fontId="93" fillId="17" borderId="25" xfId="0" applyNumberFormat="1" applyFont="1" applyFill="1" applyBorder="1" applyAlignment="1">
      <alignment horizontal="center" vertical="center"/>
    </xf>
    <xf numFmtId="0" fontId="93" fillId="0" borderId="0" xfId="0" applyFont="1" applyAlignment="1">
      <alignment horizontal="center" vertical="center" wrapText="1"/>
    </xf>
    <xf numFmtId="1" fontId="93" fillId="16" borderId="23" xfId="0" applyNumberFormat="1" applyFont="1" applyFill="1" applyBorder="1" applyAlignment="1">
      <alignment horizontal="center" vertical="center" wrapText="1"/>
    </xf>
    <xf numFmtId="1" fontId="101" fillId="16" borderId="24" xfId="0" applyNumberFormat="1" applyFont="1" applyFill="1" applyBorder="1" applyAlignment="1">
      <alignment horizontal="center" vertical="center"/>
    </xf>
    <xf numFmtId="1" fontId="93" fillId="17" borderId="24" xfId="0" applyNumberFormat="1" applyFont="1" applyFill="1" applyBorder="1" applyAlignment="1">
      <alignment horizontal="center" vertical="center"/>
    </xf>
    <xf numFmtId="0" fontId="100" fillId="19" borderId="3" xfId="0" applyFont="1" applyFill="1" applyBorder="1" applyAlignment="1">
      <alignment horizontal="left" vertical="center" indent="1"/>
    </xf>
    <xf numFmtId="0" fontId="100" fillId="19" borderId="5" xfId="0" applyFont="1" applyFill="1" applyBorder="1" applyAlignment="1">
      <alignment horizontal="left" vertical="center" indent="1"/>
    </xf>
    <xf numFmtId="0" fontId="100" fillId="19" borderId="4" xfId="0" applyFont="1" applyFill="1" applyBorder="1" applyAlignment="1">
      <alignment horizontal="left" vertical="center" indent="1"/>
    </xf>
    <xf numFmtId="1" fontId="102" fillId="18" borderId="5" xfId="0" applyNumberFormat="1" applyFont="1" applyFill="1" applyBorder="1" applyAlignment="1">
      <alignment horizontal="center" vertical="center"/>
    </xf>
    <xf numFmtId="1" fontId="102" fillId="18" borderId="4" xfId="0" applyNumberFormat="1" applyFont="1" applyFill="1" applyBorder="1" applyAlignment="1">
      <alignment horizontal="center" vertical="center"/>
    </xf>
    <xf numFmtId="0" fontId="102" fillId="18" borderId="3" xfId="0" applyFont="1" applyFill="1" applyBorder="1" applyAlignment="1" applyProtection="1">
      <alignment horizontal="center" vertical="center"/>
      <protection locked="0"/>
    </xf>
    <xf numFmtId="0" fontId="102" fillId="18" borderId="4" xfId="0" applyFont="1" applyFill="1" applyBorder="1" applyAlignment="1" applyProtection="1">
      <alignment horizontal="center" vertical="center"/>
      <protection locked="0"/>
    </xf>
    <xf numFmtId="1" fontId="93" fillId="16" borderId="55" xfId="0" applyNumberFormat="1" applyFont="1" applyFill="1" applyBorder="1" applyAlignment="1">
      <alignment horizontal="center" vertical="center" wrapText="1"/>
    </xf>
    <xf numFmtId="1" fontId="100" fillId="13" borderId="1" xfId="0" applyNumberFormat="1" applyFont="1" applyFill="1" applyBorder="1" applyAlignment="1">
      <alignment horizontal="center" vertical="center"/>
    </xf>
    <xf numFmtId="0" fontId="93" fillId="13" borderId="3" xfId="0" applyFont="1" applyFill="1" applyBorder="1" applyAlignment="1">
      <alignment horizontal="left" vertical="center" indent="1"/>
    </xf>
    <xf numFmtId="0" fontId="93" fillId="13" borderId="5" xfId="0" applyFont="1" applyFill="1" applyBorder="1" applyAlignment="1">
      <alignment horizontal="left" vertical="center" indent="1"/>
    </xf>
    <xf numFmtId="0" fontId="93" fillId="13" borderId="4" xfId="0" applyFont="1" applyFill="1" applyBorder="1" applyAlignment="1">
      <alignment horizontal="left" vertical="center" indent="1"/>
    </xf>
    <xf numFmtId="0" fontId="93" fillId="0" borderId="3" xfId="0" applyFont="1" applyFill="1" applyBorder="1" applyAlignment="1">
      <alignment horizontal="left" vertical="center" wrapText="1" indent="1"/>
    </xf>
    <xf numFmtId="0" fontId="93" fillId="0" borderId="5" xfId="0" applyFont="1" applyFill="1" applyBorder="1" applyAlignment="1">
      <alignment horizontal="left" vertical="center" wrapText="1" indent="1"/>
    </xf>
    <xf numFmtId="0" fontId="93" fillId="0" borderId="4" xfId="0" applyFont="1" applyFill="1" applyBorder="1" applyAlignment="1">
      <alignment horizontal="left" vertical="center" wrapText="1" indent="1"/>
    </xf>
    <xf numFmtId="0" fontId="102" fillId="7" borderId="3" xfId="0" applyFont="1" applyFill="1" applyBorder="1" applyAlignment="1" applyProtection="1">
      <alignment horizontal="center" vertical="center"/>
      <protection locked="0"/>
    </xf>
    <xf numFmtId="0" fontId="102" fillId="7" borderId="4" xfId="0" applyFont="1" applyFill="1" applyBorder="1" applyAlignment="1" applyProtection="1">
      <alignment horizontal="center" vertical="center"/>
      <protection locked="0"/>
    </xf>
    <xf numFmtId="1" fontId="93" fillId="16" borderId="3" xfId="0" applyNumberFormat="1" applyFont="1" applyFill="1" applyBorder="1" applyAlignment="1">
      <alignment horizontal="center" vertical="center" wrapText="1"/>
    </xf>
    <xf numFmtId="0" fontId="93" fillId="13" borderId="3" xfId="0" applyFont="1" applyFill="1" applyBorder="1" applyAlignment="1">
      <alignment horizontal="left" vertical="center" wrapText="1" indent="1"/>
    </xf>
    <xf numFmtId="0" fontId="93" fillId="13" borderId="5" xfId="0" applyFont="1" applyFill="1" applyBorder="1" applyAlignment="1">
      <alignment horizontal="left" vertical="center" wrapText="1" indent="1"/>
    </xf>
    <xf numFmtId="0" fontId="93" fillId="13" borderId="4" xfId="0" applyFont="1" applyFill="1" applyBorder="1" applyAlignment="1">
      <alignment horizontal="left" vertical="center" wrapText="1" indent="1"/>
    </xf>
    <xf numFmtId="0" fontId="103" fillId="19" borderId="3" xfId="0" applyFont="1" applyFill="1" applyBorder="1" applyAlignment="1">
      <alignment horizontal="left" vertical="center" indent="1"/>
    </xf>
    <xf numFmtId="0" fontId="103" fillId="19" borderId="4" xfId="0" applyFont="1" applyFill="1" applyBorder="1" applyAlignment="1">
      <alignment horizontal="left" vertical="center" indent="1"/>
    </xf>
    <xf numFmtId="0" fontId="104" fillId="0" borderId="0" xfId="0" applyFont="1" applyAlignment="1">
      <alignment vertical="center"/>
    </xf>
    <xf numFmtId="0" fontId="88" fillId="0" borderId="92" xfId="0" applyFont="1" applyBorder="1" applyAlignment="1">
      <alignment horizontal="center" vertical="center"/>
    </xf>
    <xf numFmtId="0" fontId="105" fillId="5" borderId="18" xfId="0" applyFont="1" applyFill="1" applyBorder="1" applyAlignment="1">
      <alignment horizontal="center" vertical="center" wrapText="1"/>
    </xf>
    <xf numFmtId="0" fontId="106" fillId="5" borderId="19" xfId="0" applyFont="1" applyFill="1" applyBorder="1" applyAlignment="1">
      <alignment horizontal="center" vertical="center"/>
    </xf>
    <xf numFmtId="0" fontId="88" fillId="5" borderId="19" xfId="0" applyFont="1" applyFill="1" applyBorder="1" applyAlignment="1">
      <alignment horizontal="center" vertical="center"/>
    </xf>
    <xf numFmtId="0" fontId="88" fillId="5" borderId="20" xfId="0" applyFont="1" applyFill="1" applyBorder="1" applyAlignment="1">
      <alignment horizontal="center" vertical="center" wrapText="1"/>
    </xf>
    <xf numFmtId="0" fontId="88" fillId="0" borderId="21" xfId="0" applyFont="1" applyBorder="1" applyAlignment="1">
      <alignment horizontal="left" vertical="center" wrapText="1" indent="1"/>
    </xf>
    <xf numFmtId="0" fontId="88" fillId="0" borderId="66" xfId="0" applyFont="1" applyBorder="1" applyAlignment="1">
      <alignment horizontal="center" vertical="center"/>
    </xf>
    <xf numFmtId="0" fontId="105" fillId="5" borderId="21" xfId="0" applyFont="1" applyFill="1" applyBorder="1" applyAlignment="1">
      <alignment horizontal="center" vertical="center" wrapText="1"/>
    </xf>
    <xf numFmtId="0" fontId="106" fillId="5" borderId="17" xfId="0" applyFont="1" applyFill="1" applyBorder="1" applyAlignment="1">
      <alignment horizontal="center" vertical="center"/>
    </xf>
    <xf numFmtId="0" fontId="88" fillId="5" borderId="17" xfId="0" applyFont="1" applyFill="1" applyBorder="1" applyAlignment="1">
      <alignment horizontal="center" vertical="center"/>
    </xf>
    <xf numFmtId="0" fontId="88" fillId="5" borderId="22" xfId="0" applyFont="1" applyFill="1" applyBorder="1" applyAlignment="1">
      <alignment horizontal="center" vertical="center" wrapText="1"/>
    </xf>
    <xf numFmtId="0" fontId="106" fillId="10" borderId="23" xfId="0" applyFont="1" applyFill="1" applyBorder="1" applyAlignment="1">
      <alignment horizontal="left" vertical="center" wrapText="1" indent="1"/>
    </xf>
    <xf numFmtId="0" fontId="106" fillId="10" borderId="89" xfId="0" applyFont="1" applyFill="1" applyBorder="1" applyAlignment="1">
      <alignment horizontal="center" vertical="center"/>
    </xf>
    <xf numFmtId="0" fontId="88" fillId="5" borderId="23" xfId="0" applyFont="1" applyFill="1" applyBorder="1" applyAlignment="1">
      <alignment horizontal="center" vertical="center" wrapText="1"/>
    </xf>
    <xf numFmtId="0" fontId="88" fillId="5" borderId="24" xfId="0" applyFont="1" applyFill="1" applyBorder="1" applyAlignment="1">
      <alignment horizontal="center" vertical="center"/>
    </xf>
    <xf numFmtId="0" fontId="88" fillId="5" borderId="25" xfId="0" applyFont="1" applyFill="1" applyBorder="1" applyAlignment="1">
      <alignment horizontal="center" vertical="center"/>
    </xf>
    <xf numFmtId="0" fontId="107" fillId="0" borderId="0" xfId="0" applyFont="1" applyAlignment="1">
      <alignment horizontal="left" vertical="center" indent="1"/>
    </xf>
    <xf numFmtId="0" fontId="85" fillId="0" borderId="0" xfId="0" applyFont="1" applyAlignment="1">
      <alignment horizontal="center"/>
    </xf>
    <xf numFmtId="0" fontId="107" fillId="19" borderId="3" xfId="0" applyFont="1" applyFill="1" applyBorder="1" applyAlignment="1">
      <alignment horizontal="center" vertical="center"/>
    </xf>
    <xf numFmtId="0" fontId="107" fillId="19" borderId="5" xfId="0" applyFont="1" applyFill="1" applyBorder="1" applyAlignment="1">
      <alignment horizontal="center" vertical="center"/>
    </xf>
    <xf numFmtId="0" fontId="107" fillId="19" borderId="4" xfId="0" applyFont="1" applyFill="1" applyBorder="1" applyAlignment="1">
      <alignment horizontal="center" vertical="center"/>
    </xf>
    <xf numFmtId="0" fontId="86" fillId="0" borderId="0" xfId="0" applyFont="1" applyAlignment="1">
      <alignment vertical="center" textRotation="90"/>
    </xf>
    <xf numFmtId="0" fontId="102" fillId="5" borderId="1" xfId="0" applyFont="1" applyFill="1" applyBorder="1" applyAlignment="1" applyProtection="1">
      <alignment horizontal="center" vertical="center"/>
      <protection locked="0"/>
    </xf>
    <xf numFmtId="1" fontId="103" fillId="0" borderId="1" xfId="0" applyNumberFormat="1" applyFont="1" applyFill="1" applyBorder="1" applyAlignment="1">
      <alignment horizontal="center" vertical="center"/>
    </xf>
    <xf numFmtId="0" fontId="104" fillId="0" borderId="0" xfId="0" applyFont="1" applyAlignment="1">
      <alignment horizontal="center" vertical="center" textRotation="90"/>
    </xf>
    <xf numFmtId="0" fontId="108" fillId="5" borderId="62" xfId="0" applyFont="1" applyFill="1" applyBorder="1" applyAlignment="1">
      <alignment horizontal="left" vertical="center" wrapText="1"/>
    </xf>
    <xf numFmtId="0" fontId="108" fillId="5" borderId="63" xfId="0" applyFont="1" applyFill="1" applyBorder="1" applyAlignment="1">
      <alignment horizontal="left" vertical="center" wrapText="1"/>
    </xf>
    <xf numFmtId="0" fontId="108" fillId="5" borderId="91" xfId="0" applyFont="1" applyFill="1" applyBorder="1" applyAlignment="1">
      <alignment horizontal="left" vertical="center" wrapText="1"/>
    </xf>
    <xf numFmtId="0" fontId="105" fillId="20" borderId="19" xfId="0" applyFont="1" applyFill="1" applyBorder="1" applyAlignment="1">
      <alignment horizontal="center" vertical="center"/>
    </xf>
    <xf numFmtId="0" fontId="105" fillId="20" borderId="6" xfId="0" applyFont="1" applyFill="1" applyBorder="1" applyAlignment="1">
      <alignment horizontal="center" vertical="center"/>
    </xf>
    <xf numFmtId="0" fontId="87" fillId="20" borderId="8" xfId="0" applyFont="1" applyFill="1" applyBorder="1"/>
    <xf numFmtId="0" fontId="87" fillId="0" borderId="0" xfId="0" applyFont="1" applyAlignment="1">
      <alignment horizontal="center" vertical="center" textRotation="90"/>
    </xf>
    <xf numFmtId="0" fontId="91" fillId="20" borderId="23" xfId="0" applyFont="1" applyFill="1" applyBorder="1" applyAlignment="1">
      <alignment horizontal="left" vertical="center" wrapText="1" indent="1"/>
    </xf>
    <xf numFmtId="0" fontId="91" fillId="20" borderId="10" xfId="0" applyFont="1" applyFill="1" applyBorder="1" applyAlignment="1">
      <alignment horizontal="centerContinuous" vertical="center"/>
    </xf>
    <xf numFmtId="0" fontId="91" fillId="20" borderId="81" xfId="0" applyFont="1" applyFill="1" applyBorder="1" applyAlignment="1">
      <alignment horizontal="centerContinuous" vertical="center"/>
    </xf>
    <xf numFmtId="0" fontId="105" fillId="20" borderId="24" xfId="0" applyFont="1" applyFill="1" applyBorder="1" applyAlignment="1">
      <alignment horizontal="center" vertical="center"/>
    </xf>
    <xf numFmtId="0" fontId="105" fillId="20" borderId="10" xfId="0" applyFont="1" applyFill="1" applyBorder="1" applyAlignment="1">
      <alignment horizontal="center" vertical="center"/>
    </xf>
    <xf numFmtId="0" fontId="105" fillId="20" borderId="89" xfId="0" applyFont="1" applyFill="1" applyBorder="1" applyAlignment="1">
      <alignment horizontal="center" vertical="center"/>
    </xf>
    <xf numFmtId="0" fontId="100" fillId="20" borderId="1" xfId="0" applyFont="1" applyFill="1" applyBorder="1" applyAlignment="1" applyProtection="1">
      <alignment horizontal="center" vertical="center"/>
      <protection locked="0"/>
    </xf>
    <xf numFmtId="0" fontId="91" fillId="0" borderId="0" xfId="0" applyFont="1" applyAlignment="1">
      <alignment horizontal="left" vertical="center" indent="1"/>
    </xf>
    <xf numFmtId="0" fontId="91" fillId="0" borderId="0" xfId="0" applyFont="1" applyAlignment="1">
      <alignment horizontal="center" vertical="center"/>
    </xf>
    <xf numFmtId="0" fontId="110" fillId="0" borderId="0" xfId="0" applyFont="1" applyAlignment="1">
      <alignment horizontal="center" vertical="center"/>
    </xf>
    <xf numFmtId="0" fontId="105" fillId="0" borderId="0" xfId="0" applyFont="1" applyAlignment="1">
      <alignment horizontal="center" vertical="center"/>
    </xf>
    <xf numFmtId="0" fontId="100" fillId="0" borderId="0" xfId="0" applyFont="1" applyAlignment="1">
      <alignment horizontal="center" vertical="center"/>
    </xf>
    <xf numFmtId="0" fontId="91" fillId="13" borderId="66" xfId="0" applyFont="1" applyFill="1" applyBorder="1" applyAlignment="1">
      <alignment horizontal="left" vertical="center" wrapText="1" indent="1"/>
    </xf>
    <xf numFmtId="0" fontId="91" fillId="13" borderId="58" xfId="0" applyFont="1" applyFill="1" applyBorder="1" applyAlignment="1">
      <alignment horizontal="left" vertical="center" wrapText="1" indent="1"/>
    </xf>
    <xf numFmtId="0" fontId="91" fillId="13" borderId="65" xfId="0" applyFont="1" applyFill="1" applyBorder="1" applyAlignment="1">
      <alignment horizontal="left" vertical="center" wrapText="1" indent="1"/>
    </xf>
    <xf numFmtId="0" fontId="111" fillId="0" borderId="0" xfId="0" applyFont="1" applyAlignment="1">
      <alignment horizontal="center" vertical="center"/>
    </xf>
    <xf numFmtId="0" fontId="112" fillId="8" borderId="46" xfId="0" applyFont="1" applyFill="1" applyBorder="1" applyAlignment="1">
      <alignment horizontal="left" vertical="center" wrapText="1" indent="1"/>
    </xf>
    <xf numFmtId="0" fontId="112" fillId="8" borderId="47" xfId="0" applyFont="1" applyFill="1" applyBorder="1" applyAlignment="1">
      <alignment horizontal="center" vertical="center" wrapText="1"/>
    </xf>
    <xf numFmtId="0" fontId="112" fillId="8" borderId="48" xfId="0" applyFont="1" applyFill="1" applyBorder="1" applyAlignment="1">
      <alignment horizontal="center" vertical="center" wrapText="1"/>
    </xf>
    <xf numFmtId="0" fontId="85" fillId="0" borderId="32" xfId="0" applyFont="1" applyBorder="1" applyAlignment="1">
      <alignment horizontal="left" vertical="center" textRotation="90" wrapText="1"/>
    </xf>
    <xf numFmtId="0" fontId="100" fillId="7" borderId="8" xfId="0" applyFont="1" applyFill="1" applyBorder="1" applyAlignment="1" applyProtection="1">
      <alignment horizontal="center" vertical="center"/>
      <protection locked="0"/>
    </xf>
    <xf numFmtId="0" fontId="100" fillId="0" borderId="32" xfId="0" applyFont="1" applyBorder="1" applyAlignment="1">
      <alignment horizontal="center" vertical="center" wrapText="1"/>
    </xf>
    <xf numFmtId="0" fontId="107" fillId="0" borderId="7" xfId="0" applyFont="1" applyFill="1" applyBorder="1" applyAlignment="1">
      <alignment horizontal="center" vertical="center"/>
    </xf>
    <xf numFmtId="0" fontId="107" fillId="0" borderId="8" xfId="0" applyFont="1" applyFill="1" applyBorder="1" applyAlignment="1">
      <alignment horizontal="center" vertical="center"/>
    </xf>
    <xf numFmtId="1" fontId="88" fillId="0" borderId="3" xfId="0" applyNumberFormat="1" applyFont="1" applyFill="1" applyBorder="1" applyAlignment="1">
      <alignment horizontal="left" vertical="center" indent="1"/>
    </xf>
    <xf numFmtId="1" fontId="88" fillId="0" borderId="5" xfId="0" applyNumberFormat="1" applyFont="1" applyFill="1" applyBorder="1" applyAlignment="1">
      <alignment horizontal="left" vertical="center" indent="1"/>
    </xf>
    <xf numFmtId="1" fontId="88" fillId="0" borderId="4" xfId="0" applyNumberFormat="1" applyFont="1" applyFill="1" applyBorder="1" applyAlignment="1">
      <alignment horizontal="left" vertical="center" indent="1"/>
    </xf>
    <xf numFmtId="0" fontId="112" fillId="0" borderId="43" xfId="0" applyFont="1" applyBorder="1" applyAlignment="1">
      <alignment horizontal="left" vertical="center" wrapText="1" indent="1"/>
    </xf>
    <xf numFmtId="0" fontId="112" fillId="4" borderId="44" xfId="0" applyFont="1" applyFill="1" applyBorder="1" applyAlignment="1">
      <alignment horizontal="center" vertical="center" wrapText="1"/>
    </xf>
    <xf numFmtId="0" fontId="112" fillId="21" borderId="44" xfId="0" applyFont="1" applyFill="1" applyBorder="1" applyAlignment="1">
      <alignment horizontal="center" vertical="center" wrapText="1"/>
    </xf>
    <xf numFmtId="0" fontId="112" fillId="0" borderId="45" xfId="0" applyFont="1" applyBorder="1" applyAlignment="1">
      <alignment horizontal="center" vertical="center" wrapText="1"/>
    </xf>
    <xf numFmtId="0" fontId="85" fillId="0" borderId="33" xfId="0" applyFont="1" applyBorder="1" applyAlignment="1">
      <alignment horizontal="left" vertical="center" textRotation="90" wrapText="1"/>
    </xf>
    <xf numFmtId="0" fontId="89" fillId="7" borderId="6" xfId="0" applyFont="1" applyFill="1" applyBorder="1" applyAlignment="1">
      <alignment vertical="top" wrapText="1"/>
    </xf>
    <xf numFmtId="0" fontId="89" fillId="7" borderId="8" xfId="0" applyFont="1" applyFill="1" applyBorder="1" applyAlignment="1">
      <alignment vertical="top" wrapText="1"/>
    </xf>
    <xf numFmtId="0" fontId="100" fillId="0" borderId="33" xfId="0" applyFont="1" applyBorder="1" applyAlignment="1">
      <alignment horizontal="center" vertical="center" wrapText="1"/>
    </xf>
    <xf numFmtId="0" fontId="107" fillId="0" borderId="2" xfId="0" applyFont="1" applyFill="1" applyBorder="1" applyAlignment="1">
      <alignment horizontal="center" vertical="center"/>
    </xf>
    <xf numFmtId="0" fontId="107" fillId="0" borderId="16" xfId="0" applyFont="1" applyFill="1" applyBorder="1" applyAlignment="1">
      <alignment horizontal="center" vertical="center"/>
    </xf>
    <xf numFmtId="0" fontId="112" fillId="0" borderId="21" xfId="0" applyFont="1" applyBorder="1" applyAlignment="1">
      <alignment horizontal="left" vertical="center" wrapText="1" indent="1"/>
    </xf>
    <xf numFmtId="0" fontId="112" fillId="4" borderId="17" xfId="0" applyFont="1" applyFill="1" applyBorder="1" applyAlignment="1">
      <alignment horizontal="center" vertical="center" wrapText="1"/>
    </xf>
    <xf numFmtId="0" fontId="112" fillId="21" borderId="17" xfId="0" applyFont="1" applyFill="1" applyBorder="1" applyAlignment="1">
      <alignment horizontal="center" vertical="center" wrapText="1"/>
    </xf>
    <xf numFmtId="0" fontId="112" fillId="0" borderId="22" xfId="0" applyFont="1" applyBorder="1" applyAlignment="1">
      <alignment horizontal="center" vertical="center" wrapText="1"/>
    </xf>
    <xf numFmtId="0" fontId="89" fillId="7" borderId="0" xfId="0" applyFont="1" applyFill="1" applyBorder="1" applyAlignment="1">
      <alignment vertical="top" wrapText="1"/>
    </xf>
    <xf numFmtId="0" fontId="89" fillId="7" borderId="16" xfId="0" applyFont="1" applyFill="1" applyBorder="1" applyAlignment="1">
      <alignment vertical="top" wrapText="1"/>
    </xf>
    <xf numFmtId="0" fontId="112" fillId="0" borderId="23" xfId="0" applyFont="1" applyBorder="1" applyAlignment="1">
      <alignment horizontal="left" vertical="center" wrapText="1" indent="1"/>
    </xf>
    <xf numFmtId="0" fontId="112" fillId="4" borderId="24" xfId="0" applyFont="1" applyFill="1" applyBorder="1" applyAlignment="1">
      <alignment horizontal="center" vertical="center" wrapText="1"/>
    </xf>
    <xf numFmtId="0" fontId="112" fillId="21" borderId="24" xfId="0" applyFont="1" applyFill="1" applyBorder="1" applyAlignment="1">
      <alignment horizontal="center" vertical="center" wrapText="1"/>
    </xf>
    <xf numFmtId="0" fontId="112" fillId="0" borderId="25" xfId="0" applyFont="1" applyBorder="1" applyAlignment="1">
      <alignment horizontal="center" vertical="center" wrapText="1"/>
    </xf>
    <xf numFmtId="0" fontId="85" fillId="0" borderId="34" xfId="0" applyFont="1" applyBorder="1" applyAlignment="1">
      <alignment horizontal="left" vertical="center" textRotation="90" wrapText="1"/>
    </xf>
    <xf numFmtId="0" fontId="89" fillId="7" borderId="10" xfId="0" applyFont="1" applyFill="1" applyBorder="1" applyAlignment="1">
      <alignment vertical="top" wrapText="1"/>
    </xf>
    <xf numFmtId="0" fontId="89" fillId="7" borderId="11" xfId="0" applyFont="1" applyFill="1" applyBorder="1" applyAlignment="1">
      <alignment vertical="top" wrapText="1"/>
    </xf>
    <xf numFmtId="0" fontId="100" fillId="0" borderId="34" xfId="0" applyFont="1" applyBorder="1" applyAlignment="1">
      <alignment horizontal="center" vertical="center" wrapText="1"/>
    </xf>
    <xf numFmtId="0" fontId="107" fillId="0" borderId="9" xfId="0" applyFont="1" applyFill="1" applyBorder="1" applyAlignment="1">
      <alignment horizontal="center" vertical="center"/>
    </xf>
    <xf numFmtId="0" fontId="107" fillId="0" borderId="11" xfId="0" applyFont="1" applyFill="1" applyBorder="1" applyAlignment="1">
      <alignment horizontal="center" vertical="center"/>
    </xf>
    <xf numFmtId="0" fontId="91" fillId="0" borderId="0" xfId="0" applyFont="1" applyBorder="1" applyAlignment="1">
      <alignment horizontal="left" vertical="center" indent="1"/>
    </xf>
    <xf numFmtId="0" fontId="91" fillId="0" borderId="0" xfId="0" applyFont="1" applyBorder="1" applyAlignment="1">
      <alignment horizontal="center" vertical="center"/>
    </xf>
    <xf numFmtId="0" fontId="100" fillId="7" borderId="32" xfId="0" applyFont="1" applyFill="1" applyBorder="1" applyAlignment="1" applyProtection="1">
      <alignment horizontal="center" vertical="center"/>
      <protection locked="0"/>
    </xf>
    <xf numFmtId="0" fontId="113" fillId="7" borderId="6" xfId="0" applyFont="1" applyFill="1" applyBorder="1" applyAlignment="1">
      <alignment vertical="top" wrapText="1"/>
    </xf>
    <xf numFmtId="0" fontId="113" fillId="7" borderId="8" xfId="0" applyFont="1" applyFill="1" applyBorder="1" applyAlignment="1">
      <alignment vertical="top" wrapText="1"/>
    </xf>
    <xf numFmtId="0" fontId="113" fillId="7" borderId="0" xfId="0" applyFont="1" applyFill="1" applyBorder="1" applyAlignment="1">
      <alignment vertical="top" wrapText="1"/>
    </xf>
    <xf numFmtId="0" fontId="113" fillId="7" borderId="16" xfId="0" applyFont="1" applyFill="1" applyBorder="1" applyAlignment="1">
      <alignment vertical="top" wrapText="1"/>
    </xf>
    <xf numFmtId="0" fontId="113" fillId="7" borderId="10" xfId="0" applyFont="1" applyFill="1" applyBorder="1" applyAlignment="1">
      <alignment vertical="top" wrapText="1"/>
    </xf>
    <xf numFmtId="0" fontId="113" fillId="7" borderId="11" xfId="0" applyFont="1" applyFill="1" applyBorder="1" applyAlignment="1">
      <alignment vertical="top" wrapText="1"/>
    </xf>
    <xf numFmtId="0" fontId="85" fillId="0" borderId="32" xfId="0" applyFont="1" applyBorder="1" applyAlignment="1">
      <alignment horizontal="center" vertical="center" textRotation="90" wrapText="1"/>
    </xf>
    <xf numFmtId="0" fontId="85" fillId="0" borderId="33" xfId="0" applyFont="1" applyBorder="1" applyAlignment="1">
      <alignment horizontal="center" vertical="center" textRotation="90" wrapText="1"/>
    </xf>
    <xf numFmtId="0" fontId="85" fillId="0" borderId="34" xfId="0" applyFont="1" applyBorder="1" applyAlignment="1">
      <alignment horizontal="center" vertical="center" textRotation="90" wrapText="1"/>
    </xf>
    <xf numFmtId="0" fontId="89" fillId="20" borderId="8" xfId="0" applyFont="1" applyFill="1" applyBorder="1" applyAlignment="1">
      <alignment horizontal="center"/>
    </xf>
    <xf numFmtId="0" fontId="114" fillId="22" borderId="18" xfId="0" applyFont="1" applyFill="1" applyBorder="1" applyAlignment="1">
      <alignment horizontal="left" vertical="center" wrapText="1" indent="1"/>
    </xf>
    <xf numFmtId="0" fontId="114" fillId="22" borderId="19" xfId="0" applyFont="1" applyFill="1" applyBorder="1" applyAlignment="1">
      <alignment horizontal="center" vertical="center" wrapText="1"/>
    </xf>
    <xf numFmtId="0" fontId="114" fillId="22" borderId="20" xfId="0" applyFont="1" applyFill="1" applyBorder="1" applyAlignment="1">
      <alignment horizontal="center" vertical="center" wrapText="1"/>
    </xf>
    <xf numFmtId="0" fontId="116" fillId="0" borderId="66" xfId="0" applyFont="1" applyBorder="1" applyAlignment="1">
      <alignment horizontal="center" vertical="center" wrapText="1"/>
    </xf>
    <xf numFmtId="0" fontId="116" fillId="0" borderId="65" xfId="0" applyFont="1" applyBorder="1" applyAlignment="1">
      <alignment horizontal="center" vertical="center" wrapText="1"/>
    </xf>
    <xf numFmtId="0" fontId="116" fillId="0" borderId="22" xfId="0" applyFont="1" applyBorder="1" applyAlignment="1">
      <alignment horizontal="center" vertical="center" wrapText="1"/>
    </xf>
    <xf numFmtId="0" fontId="112" fillId="0" borderId="24" xfId="0" applyFont="1" applyBorder="1" applyAlignment="1">
      <alignment horizontal="center" vertical="center" wrapText="1"/>
    </xf>
    <xf numFmtId="0" fontId="91" fillId="0" borderId="6" xfId="0" applyFont="1" applyBorder="1" applyAlignment="1">
      <alignment horizontal="center" vertical="center"/>
    </xf>
    <xf numFmtId="0" fontId="87" fillId="0" borderId="0" xfId="0" applyFont="1" applyAlignment="1">
      <alignment horizontal="center" vertical="center"/>
    </xf>
    <xf numFmtId="0" fontId="112" fillId="8" borderId="186" xfId="0" applyFont="1" applyFill="1" applyBorder="1" applyAlignment="1">
      <alignment horizontal="left" vertical="center" wrapText="1" indent="1"/>
    </xf>
    <xf numFmtId="0" fontId="112" fillId="8" borderId="187" xfId="0" applyFont="1" applyFill="1" applyBorder="1" applyAlignment="1">
      <alignment horizontal="center" vertical="center" wrapText="1"/>
    </xf>
    <xf numFmtId="0" fontId="112" fillId="8" borderId="186" xfId="0" applyFont="1" applyFill="1" applyBorder="1" applyAlignment="1">
      <alignment horizontal="center" vertical="center" wrapText="1"/>
    </xf>
    <xf numFmtId="0" fontId="112" fillId="8" borderId="188" xfId="0" applyFont="1" applyFill="1" applyBorder="1" applyAlignment="1">
      <alignment horizontal="center" vertical="center" wrapText="1"/>
    </xf>
    <xf numFmtId="0" fontId="112" fillId="0" borderId="33" xfId="0" applyFont="1" applyBorder="1" applyAlignment="1">
      <alignment horizontal="left" vertical="center" wrapText="1" indent="1"/>
    </xf>
    <xf numFmtId="0" fontId="112" fillId="0" borderId="0" xfId="0" applyFont="1" applyAlignment="1">
      <alignment horizontal="center" vertical="center" wrapText="1"/>
    </xf>
    <xf numFmtId="0" fontId="112" fillId="21" borderId="33"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1" xfId="0" applyFont="1" applyBorder="1" applyAlignment="1">
      <alignment horizontal="left" vertical="center" wrapText="1" indent="1"/>
    </xf>
    <xf numFmtId="0" fontId="112" fillId="0" borderId="5" xfId="0" applyFont="1" applyBorder="1" applyAlignment="1">
      <alignment horizontal="center" vertical="center" wrapText="1"/>
    </xf>
    <xf numFmtId="0" fontId="112" fillId="21" borderId="1" xfId="0" applyFont="1" applyFill="1" applyBorder="1" applyAlignment="1">
      <alignment horizontal="center" vertical="center" wrapText="1"/>
    </xf>
    <xf numFmtId="0" fontId="112" fillId="0" borderId="10" xfId="0" applyFont="1" applyBorder="1" applyAlignment="1">
      <alignment horizontal="center" vertical="center" wrapText="1"/>
    </xf>
    <xf numFmtId="0" fontId="112" fillId="21" borderId="34" xfId="0" applyFont="1" applyFill="1" applyBorder="1" applyAlignment="1">
      <alignment horizontal="center" vertical="center" wrapText="1"/>
    </xf>
    <xf numFmtId="0" fontId="85" fillId="0" borderId="0" xfId="0" applyFont="1" applyAlignment="1">
      <alignment vertical="center"/>
    </xf>
    <xf numFmtId="0" fontId="91" fillId="0" borderId="0" xfId="0" applyFont="1" applyAlignment="1">
      <alignment horizontal="left" vertical="center" wrapText="1"/>
    </xf>
    <xf numFmtId="0" fontId="85" fillId="0" borderId="0" xfId="0" applyFont="1" applyAlignment="1">
      <alignment horizontal="center" vertical="center" textRotation="90"/>
    </xf>
    <xf numFmtId="0" fontId="112" fillId="0" borderId="18" xfId="0" applyFont="1" applyBorder="1" applyAlignment="1">
      <alignment horizontal="left" vertical="center" wrapText="1" indent="1"/>
    </xf>
    <xf numFmtId="0" fontId="112" fillId="4" borderId="19" xfId="0" applyFont="1" applyFill="1" applyBorder="1" applyAlignment="1">
      <alignment horizontal="center" vertical="center" wrapText="1"/>
    </xf>
    <xf numFmtId="0" fontId="112" fillId="21" borderId="19" xfId="0" applyFont="1" applyFill="1" applyBorder="1" applyAlignment="1">
      <alignment horizontal="center" vertical="center" wrapText="1"/>
    </xf>
    <xf numFmtId="0" fontId="112" fillId="0" borderId="20"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55" xfId="0" applyFont="1" applyBorder="1" applyAlignment="1">
      <alignment horizontal="center" vertical="center" wrapText="1"/>
    </xf>
    <xf numFmtId="0" fontId="116" fillId="0" borderId="90" xfId="0" applyFont="1" applyBorder="1" applyAlignment="1">
      <alignment horizontal="center" vertical="center" wrapText="1"/>
    </xf>
    <xf numFmtId="0" fontId="116" fillId="0" borderId="31"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3" xfId="0" applyFont="1" applyBorder="1" applyAlignment="1">
      <alignment horizontal="center" vertical="center" wrapText="1"/>
    </xf>
    <xf numFmtId="0" fontId="112" fillId="0" borderId="4" xfId="0" applyFont="1" applyBorder="1" applyAlignment="1">
      <alignment horizontal="center" vertical="center" wrapText="1"/>
    </xf>
    <xf numFmtId="0" fontId="112" fillId="0" borderId="2" xfId="0" applyFont="1" applyBorder="1" applyAlignment="1">
      <alignment horizontal="center" vertical="center" wrapText="1"/>
    </xf>
    <xf numFmtId="0" fontId="112" fillId="0" borderId="16" xfId="0" applyFont="1" applyBorder="1" applyAlignment="1">
      <alignment horizontal="center" vertical="center" wrapText="1"/>
    </xf>
    <xf numFmtId="0" fontId="114" fillId="22" borderId="39" xfId="0" applyFont="1" applyFill="1" applyBorder="1" applyAlignment="1">
      <alignment horizontal="left" vertical="center" wrapText="1" indent="1"/>
    </xf>
    <xf numFmtId="0" fontId="114" fillId="22" borderId="70" xfId="0" applyFont="1" applyFill="1" applyBorder="1" applyAlignment="1">
      <alignment horizontal="center" vertical="center" wrapText="1"/>
    </xf>
    <xf numFmtId="0" fontId="114" fillId="22" borderId="71" xfId="0" applyFont="1" applyFill="1" applyBorder="1" applyAlignment="1">
      <alignment horizontal="center" vertical="center" wrapText="1"/>
    </xf>
    <xf numFmtId="0" fontId="116" fillId="0" borderId="18" xfId="0" applyFont="1" applyBorder="1" applyAlignment="1">
      <alignment horizontal="left" vertical="center" wrapText="1" indent="1"/>
    </xf>
    <xf numFmtId="0" fontId="116" fillId="0" borderId="19" xfId="0" applyFont="1" applyBorder="1" applyAlignment="1">
      <alignment horizontal="center" vertical="center" wrapText="1"/>
    </xf>
    <xf numFmtId="0" fontId="116" fillId="0" borderId="20" xfId="0" applyFont="1" applyBorder="1" applyAlignment="1">
      <alignment horizontal="center" vertical="center" wrapText="1"/>
    </xf>
    <xf numFmtId="0" fontId="112" fillId="0" borderId="17" xfId="0" applyFont="1" applyBorder="1" applyAlignment="1">
      <alignment horizontal="center" vertical="center" wrapText="1"/>
    </xf>
    <xf numFmtId="0" fontId="91" fillId="0" borderId="0" xfId="0" applyFont="1" applyBorder="1" applyAlignment="1">
      <alignment horizontal="center" vertical="center" wrapText="1"/>
    </xf>
    <xf numFmtId="0" fontId="112" fillId="8" borderId="18" xfId="0" applyFont="1" applyFill="1" applyBorder="1" applyAlignment="1">
      <alignment horizontal="left" vertical="center" wrapText="1" indent="1"/>
    </xf>
    <xf numFmtId="0" fontId="112" fillId="8" borderId="19" xfId="0" applyFont="1" applyFill="1" applyBorder="1" applyAlignment="1">
      <alignment horizontal="center" vertical="center" wrapText="1"/>
    </xf>
    <xf numFmtId="0" fontId="112" fillId="8" borderId="20" xfId="0" applyFont="1" applyFill="1" applyBorder="1" applyAlignment="1">
      <alignment horizontal="center" vertical="center" wrapText="1"/>
    </xf>
    <xf numFmtId="0" fontId="113" fillId="7" borderId="7" xfId="0" applyFont="1" applyFill="1" applyBorder="1" applyAlignment="1">
      <alignment vertical="top" wrapText="1"/>
    </xf>
    <xf numFmtId="0" fontId="113" fillId="7" borderId="2" xfId="0" applyFont="1" applyFill="1" applyBorder="1" applyAlignment="1">
      <alignment vertical="top" wrapText="1"/>
    </xf>
    <xf numFmtId="0" fontId="113" fillId="7" borderId="9" xfId="0" applyFont="1" applyFill="1" applyBorder="1" applyAlignment="1">
      <alignment vertical="top" wrapText="1"/>
    </xf>
    <xf numFmtId="0" fontId="86" fillId="0" borderId="0" xfId="0" applyFont="1" applyAlignment="1">
      <alignment horizontal="center" vertical="center"/>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9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7"/>
      <tableStyleElement type="headerRow" dxfId="96"/>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obos.dani25@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ww.facebook.com/venbagolykulturkocsm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dobos.dani25@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536</v>
      </c>
    </row>
    <row r="2" spans="1:2" ht="409.6" customHeight="1">
      <c r="B2" s="134" t="s">
        <v>421</v>
      </c>
    </row>
    <row r="3" spans="1:2" ht="75" customHeight="1">
      <c r="B3" s="336" t="s">
        <v>422</v>
      </c>
    </row>
    <row r="4" spans="1:2" ht="409.6" customHeight="1">
      <c r="B4" s="439" t="s">
        <v>540</v>
      </c>
    </row>
    <row r="5" spans="1:2" ht="292.5" customHeight="1">
      <c r="B5" s="439" t="s">
        <v>533</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289</v>
      </c>
    </row>
    <row r="29" spans="1:2" ht="16.5" customHeight="1">
      <c r="B29" s="210" t="s">
        <v>380</v>
      </c>
    </row>
    <row r="30" spans="1:2" ht="16.5" customHeight="1">
      <c r="B30" s="210"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terv'!H36</f>
        <v>A termelési /szolgáltatási /működési folyamat bemutatása:</v>
      </c>
    </row>
    <row r="49" spans="1:2" ht="153" customHeight="1">
      <c r="B49" s="134" t="str">
        <f>'5. Működési terv'!H38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4" zoomScale="60" zoomScaleNormal="60" workbookViewId="0">
      <selection activeCell="B8" sqref="B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6" t="s">
        <v>423</v>
      </c>
      <c r="C2" s="727"/>
    </row>
    <row r="3" spans="2:9" ht="31.5" customHeight="1">
      <c r="B3" s="728" t="s">
        <v>537</v>
      </c>
      <c r="C3" s="728"/>
    </row>
    <row r="4" spans="2:9" ht="31.5" customHeight="1">
      <c r="B4" s="729" t="s">
        <v>539</v>
      </c>
      <c r="C4" s="729"/>
      <c r="D4" s="57"/>
      <c r="E4" s="57"/>
    </row>
    <row r="5" spans="2:9" ht="28.5" customHeight="1">
      <c r="B5" s="730" t="s">
        <v>538</v>
      </c>
      <c r="C5" s="731"/>
      <c r="I5" s="2"/>
    </row>
    <row r="6" spans="2:9" ht="165.75" customHeight="1">
      <c r="I6" s="2"/>
    </row>
    <row r="7" spans="2:9" ht="31.5" customHeight="1">
      <c r="B7" s="1" t="s">
        <v>424</v>
      </c>
      <c r="C7" s="440" t="s">
        <v>621</v>
      </c>
    </row>
    <row r="8" spans="2:9" ht="31.5" customHeight="1">
      <c r="B8" s="1" t="s">
        <v>466</v>
      </c>
      <c r="C8" s="440" t="s">
        <v>622</v>
      </c>
    </row>
    <row r="9" spans="2:9" ht="31.5" customHeight="1">
      <c r="B9" s="1" t="s">
        <v>0</v>
      </c>
      <c r="C9" s="440" t="s">
        <v>623</v>
      </c>
    </row>
    <row r="10" spans="2:9" ht="31.5" customHeight="1">
      <c r="B10" s="1" t="s">
        <v>425</v>
      </c>
      <c r="C10" s="440" t="s">
        <v>624</v>
      </c>
    </row>
    <row r="11" spans="2:9" ht="31.5" customHeight="1">
      <c r="B11" s="1"/>
      <c r="C11" s="1"/>
    </row>
    <row r="12" spans="2:9" ht="31.5" customHeight="1">
      <c r="B12" s="1"/>
      <c r="C12" s="1"/>
    </row>
    <row r="13" spans="2:9" ht="62.25" customHeight="1">
      <c r="B13" s="3" t="s">
        <v>467</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11" activePane="bottomLeft" state="frozen"/>
      <selection activeCell="B8" sqref="B8"/>
      <selection pane="bottomLeft" activeCell="B8" sqref="B8"/>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2">
        <v>3</v>
      </c>
      <c r="C2" s="732"/>
      <c r="D2" s="732"/>
    </row>
    <row r="4" spans="2:4" ht="27" customHeight="1">
      <c r="B4" s="337"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view="pageBreakPreview" zoomScale="60" zoomScaleNormal="60" workbookViewId="0">
      <pane ySplit="3" topLeftCell="A5" activePane="bottomLeft" state="frozen"/>
      <selection activeCell="B8" sqref="B8"/>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3" t="s">
        <v>272</v>
      </c>
      <c r="C1" s="734"/>
      <c r="D1" s="734"/>
      <c r="E1" s="735"/>
      <c r="F1" s="75" t="s">
        <v>285</v>
      </c>
    </row>
    <row r="2" spans="1:6" ht="24.75" customHeight="1" thickBot="1">
      <c r="B2" s="736" t="s">
        <v>530</v>
      </c>
      <c r="C2" s="737"/>
      <c r="D2" s="737"/>
      <c r="E2" s="738"/>
      <c r="F2" s="111" t="s">
        <v>286</v>
      </c>
    </row>
    <row r="3" spans="1:6" ht="32.25" customHeight="1" thickBot="1">
      <c r="A3" s="186">
        <v>5000</v>
      </c>
      <c r="B3" s="108" t="s">
        <v>1</v>
      </c>
      <c r="C3" s="187">
        <f>LEN(B5)</f>
        <v>3273</v>
      </c>
      <c r="D3" s="739" t="str">
        <f>IF(C3&gt;A3,CONCATENATE("Karaktertúllépés! Kérjük, válaszát maximum ",A3," karakterben foglalja össze!"),CONCATENATE("Még beírható karakterek száma:   ",A3-C3))</f>
        <v>Még beírható karakterek száma:   1727</v>
      </c>
      <c r="E3" s="740"/>
      <c r="F3" s="182"/>
    </row>
    <row r="4" spans="1:6" ht="15.75" customHeight="1" thickBot="1">
      <c r="B4" s="183"/>
      <c r="C4" s="72"/>
      <c r="D4" s="73"/>
      <c r="E4" s="184"/>
      <c r="F4" s="6"/>
    </row>
    <row r="5" spans="1:6" ht="327" customHeight="1" thickBot="1">
      <c r="B5" s="744" t="s">
        <v>758</v>
      </c>
      <c r="C5" s="745"/>
      <c r="D5" s="745"/>
      <c r="E5" s="746"/>
      <c r="F5" s="638" t="s">
        <v>534</v>
      </c>
    </row>
    <row r="6" spans="1:6" ht="321.75" customHeight="1">
      <c r="B6" s="747"/>
      <c r="C6" s="748"/>
      <c r="D6" s="748"/>
      <c r="E6" s="749"/>
      <c r="F6" s="741" t="s">
        <v>535</v>
      </c>
    </row>
    <row r="7" spans="1:6">
      <c r="B7" s="747"/>
      <c r="C7" s="748"/>
      <c r="D7" s="748"/>
      <c r="E7" s="749"/>
      <c r="F7" s="742"/>
    </row>
    <row r="8" spans="1:6">
      <c r="B8" s="747"/>
      <c r="C8" s="748"/>
      <c r="D8" s="748"/>
      <c r="E8" s="749"/>
      <c r="F8" s="742"/>
    </row>
    <row r="9" spans="1:6">
      <c r="B9" s="747"/>
      <c r="C9" s="748"/>
      <c r="D9" s="748"/>
      <c r="E9" s="749"/>
      <c r="F9" s="742"/>
    </row>
    <row r="10" spans="1:6">
      <c r="B10" s="747"/>
      <c r="C10" s="748"/>
      <c r="D10" s="748"/>
      <c r="E10" s="749"/>
      <c r="F10" s="742"/>
    </row>
    <row r="11" spans="1:6">
      <c r="B11" s="747"/>
      <c r="C11" s="748"/>
      <c r="D11" s="748"/>
      <c r="E11" s="749"/>
      <c r="F11" s="742"/>
    </row>
    <row r="12" spans="1:6">
      <c r="B12" s="747"/>
      <c r="C12" s="748"/>
      <c r="D12" s="748"/>
      <c r="E12" s="749"/>
      <c r="F12" s="742"/>
    </row>
    <row r="13" spans="1:6">
      <c r="B13" s="747"/>
      <c r="C13" s="748"/>
      <c r="D13" s="748"/>
      <c r="E13" s="749"/>
      <c r="F13" s="742"/>
    </row>
    <row r="14" spans="1:6">
      <c r="B14" s="747"/>
      <c r="C14" s="748"/>
      <c r="D14" s="748"/>
      <c r="E14" s="749"/>
      <c r="F14" s="742"/>
    </row>
    <row r="15" spans="1:6">
      <c r="B15" s="747"/>
      <c r="C15" s="748"/>
      <c r="D15" s="748"/>
      <c r="E15" s="749"/>
      <c r="F15" s="742"/>
    </row>
    <row r="16" spans="1:6">
      <c r="B16" s="747"/>
      <c r="C16" s="748"/>
      <c r="D16" s="748"/>
      <c r="E16" s="749"/>
      <c r="F16" s="742"/>
    </row>
    <row r="17" spans="2:6">
      <c r="B17" s="747"/>
      <c r="C17" s="748"/>
      <c r="D17" s="748"/>
      <c r="E17" s="749"/>
      <c r="F17" s="742"/>
    </row>
    <row r="18" spans="2:6">
      <c r="B18" s="747"/>
      <c r="C18" s="748"/>
      <c r="D18" s="748"/>
      <c r="E18" s="749"/>
      <c r="F18" s="742"/>
    </row>
    <row r="19" spans="2:6">
      <c r="B19" s="747"/>
      <c r="C19" s="748"/>
      <c r="D19" s="748"/>
      <c r="E19" s="749"/>
      <c r="F19" s="742"/>
    </row>
    <row r="20" spans="2:6" ht="15.75" thickBot="1">
      <c r="B20" s="750"/>
      <c r="C20" s="751"/>
      <c r="D20" s="751"/>
      <c r="E20" s="752"/>
      <c r="F20" s="74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5"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view="pageBreakPreview" zoomScale="70" zoomScaleNormal="60" zoomScaleSheetLayoutView="70" workbookViewId="0">
      <pane ySplit="1" topLeftCell="A14" activePane="bottomLeft" state="frozen"/>
      <selection activeCell="B8" sqref="B8"/>
      <selection pane="bottomLeft" activeCell="B8" sqref="B8"/>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9" t="s">
        <v>243</v>
      </c>
      <c r="C1" s="770"/>
      <c r="D1" s="770"/>
      <c r="E1" s="771"/>
      <c r="F1" s="185" t="s">
        <v>207</v>
      </c>
    </row>
    <row r="2" spans="1:6" ht="37.5" customHeight="1" thickBot="1">
      <c r="B2" s="772" t="s">
        <v>265</v>
      </c>
      <c r="C2" s="773"/>
      <c r="D2" s="773"/>
      <c r="E2" s="774"/>
      <c r="F2" s="112" t="s">
        <v>287</v>
      </c>
    </row>
    <row r="3" spans="1:6" ht="32.25" customHeight="1" thickBot="1">
      <c r="A3" s="237">
        <v>500</v>
      </c>
      <c r="B3" s="108" t="s">
        <v>1</v>
      </c>
      <c r="C3" s="187">
        <f>LEN(B4)</f>
        <v>107</v>
      </c>
      <c r="D3" s="739" t="str">
        <f>IF(C3&gt;A3,CONCATENATE("Karaktertúllépés! Kérjük, válaszát maximum ",A3," karakterben foglalja össze!"),CONCATENATE("Még beírható karakterek száma:   ",A3-C3))</f>
        <v>Még beírható karakterek száma:   393</v>
      </c>
      <c r="E3" s="740"/>
      <c r="F3" s="250"/>
    </row>
    <row r="4" spans="1:6" ht="169.5" customHeight="1" thickBot="1">
      <c r="B4" s="775" t="s">
        <v>674</v>
      </c>
      <c r="C4" s="776"/>
      <c r="D4" s="776"/>
      <c r="E4" s="777"/>
      <c r="F4" s="240" t="s">
        <v>208</v>
      </c>
    </row>
    <row r="5" spans="1:6" ht="13.5" customHeight="1">
      <c r="B5" s="248"/>
      <c r="C5" s="70"/>
      <c r="D5" s="70"/>
      <c r="E5" s="245"/>
      <c r="F5" s="239"/>
    </row>
    <row r="6" spans="1:6" ht="37.5" customHeight="1" thickBot="1">
      <c r="B6" s="759" t="s">
        <v>2</v>
      </c>
      <c r="C6" s="760"/>
      <c r="D6" s="760"/>
      <c r="E6" s="761"/>
      <c r="F6" s="239"/>
    </row>
    <row r="7" spans="1:6" ht="92.25" customHeight="1" thickBot="1">
      <c r="B7" s="781" t="s">
        <v>625</v>
      </c>
      <c r="C7" s="782"/>
      <c r="D7" s="782"/>
      <c r="E7" s="783"/>
      <c r="F7" s="251" t="s">
        <v>418</v>
      </c>
    </row>
    <row r="8" spans="1:6" ht="23.25" customHeight="1" thickBot="1">
      <c r="B8" s="249"/>
      <c r="C8" s="78"/>
      <c r="D8" s="784" t="s">
        <v>419</v>
      </c>
      <c r="E8" s="785"/>
      <c r="F8" s="239"/>
    </row>
    <row r="9" spans="1:6" s="45" customFormat="1" ht="40.5" customHeight="1" thickBot="1">
      <c r="B9" s="233"/>
      <c r="C9" s="786" t="s">
        <v>360</v>
      </c>
      <c r="D9" s="787"/>
      <c r="E9" s="788"/>
      <c r="F9" s="239"/>
    </row>
    <row r="10" spans="1:6" ht="44.25" customHeight="1" thickBot="1">
      <c r="B10" s="778" t="s">
        <v>3</v>
      </c>
      <c r="C10" s="779"/>
      <c r="D10" s="779"/>
      <c r="E10" s="780"/>
      <c r="F10" s="239"/>
    </row>
    <row r="11" spans="1:6" ht="38.25" customHeight="1" thickBot="1">
      <c r="A11" s="237">
        <v>500</v>
      </c>
      <c r="B11" s="108" t="s">
        <v>1</v>
      </c>
      <c r="C11" s="187">
        <f>LEN(B12)</f>
        <v>111</v>
      </c>
      <c r="D11" s="739" t="str">
        <f>IF(C11&gt;A11,CONCATENATE("Karaktertúllépés! Kérjük, válaszát maximum ",A11," karakterben foglalja össze!"),CONCATENATE("Még beírható karakterek száma:   ",A11-C11))</f>
        <v>Még beírható karakterek száma:   389</v>
      </c>
      <c r="E11" s="740"/>
      <c r="F11" s="250"/>
    </row>
    <row r="12" spans="1:6" ht="134.25" customHeight="1" thickBot="1">
      <c r="B12" s="775" t="s">
        <v>675</v>
      </c>
      <c r="C12" s="776"/>
      <c r="D12" s="776"/>
      <c r="E12" s="777"/>
      <c r="F12" s="252" t="s">
        <v>420</v>
      </c>
    </row>
    <row r="13" spans="1:6" ht="9" customHeight="1">
      <c r="B13" s="248"/>
      <c r="C13" s="70"/>
      <c r="D13" s="70"/>
      <c r="E13" s="245"/>
      <c r="F13" s="251"/>
    </row>
    <row r="14" spans="1:6" ht="28.5" customHeight="1" thickBot="1">
      <c r="B14" s="759" t="s">
        <v>7</v>
      </c>
      <c r="C14" s="760"/>
      <c r="D14" s="760"/>
      <c r="E14" s="761"/>
      <c r="F14" s="789" t="s">
        <v>266</v>
      </c>
    </row>
    <row r="15" spans="1:6" ht="27.75" customHeight="1">
      <c r="B15" s="762" t="s">
        <v>4</v>
      </c>
      <c r="C15" s="763"/>
      <c r="D15" s="763" t="s">
        <v>5</v>
      </c>
      <c r="E15" s="764"/>
      <c r="F15" s="789"/>
    </row>
    <row r="16" spans="1:6" ht="139.5" customHeight="1">
      <c r="B16" s="756" t="s">
        <v>650</v>
      </c>
      <c r="C16" s="757"/>
      <c r="D16" s="757" t="s">
        <v>651</v>
      </c>
      <c r="E16" s="768"/>
      <c r="F16" s="253" t="s">
        <v>268</v>
      </c>
    </row>
    <row r="17" spans="2:6" ht="139.5" customHeight="1">
      <c r="B17" s="756" t="s">
        <v>652</v>
      </c>
      <c r="C17" s="757"/>
      <c r="D17" s="757" t="s">
        <v>653</v>
      </c>
      <c r="E17" s="768"/>
      <c r="F17" s="253" t="s">
        <v>270</v>
      </c>
    </row>
    <row r="18" spans="2:6" ht="139.5" customHeight="1" thickBot="1">
      <c r="B18" s="758" t="s">
        <v>666</v>
      </c>
      <c r="C18" s="754"/>
      <c r="D18" s="754" t="s">
        <v>667</v>
      </c>
      <c r="E18" s="755"/>
      <c r="F18" s="254" t="s">
        <v>271</v>
      </c>
    </row>
    <row r="19" spans="2:6" ht="13.5" customHeight="1">
      <c r="B19" s="248"/>
      <c r="C19" s="70"/>
      <c r="D19" s="70"/>
      <c r="E19" s="245"/>
      <c r="F19" s="255"/>
    </row>
    <row r="20" spans="2:6" ht="28.5" customHeight="1" thickBot="1">
      <c r="B20" s="759" t="s">
        <v>6</v>
      </c>
      <c r="C20" s="760"/>
      <c r="D20" s="760"/>
      <c r="E20" s="761"/>
      <c r="F20" s="753" t="s">
        <v>258</v>
      </c>
    </row>
    <row r="21" spans="2:6" ht="33.75" customHeight="1">
      <c r="B21" s="762" t="s">
        <v>4</v>
      </c>
      <c r="C21" s="763"/>
      <c r="D21" s="763" t="s">
        <v>5</v>
      </c>
      <c r="E21" s="764"/>
      <c r="F21" s="753"/>
    </row>
    <row r="22" spans="2:6" ht="135" customHeight="1">
      <c r="B22" s="765" t="s">
        <v>668</v>
      </c>
      <c r="C22" s="766"/>
      <c r="D22" s="766" t="s">
        <v>672</v>
      </c>
      <c r="E22" s="767"/>
      <c r="F22" s="251"/>
    </row>
    <row r="23" spans="2:6" ht="135" customHeight="1">
      <c r="B23" s="756" t="s">
        <v>669</v>
      </c>
      <c r="C23" s="757"/>
      <c r="D23" s="757" t="s">
        <v>670</v>
      </c>
      <c r="E23" s="768"/>
      <c r="F23" s="256" t="s">
        <v>269</v>
      </c>
    </row>
    <row r="24" spans="2:6" ht="135" customHeight="1" thickBot="1">
      <c r="B24" s="758" t="s">
        <v>671</v>
      </c>
      <c r="C24" s="754"/>
      <c r="D24" s="754" t="s">
        <v>673</v>
      </c>
      <c r="E24" s="755"/>
      <c r="F24" s="257" t="s">
        <v>294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4" priority="2">
      <formula>C3&gt;A3</formula>
    </cfRule>
  </conditionalFormatting>
  <conditionalFormatting sqref="D11:E11">
    <cfRule type="expression" dxfId="93"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view="pageBreakPreview" topLeftCell="A7" zoomScale="60" zoomScaleNormal="80" workbookViewId="0">
      <selection activeCell="B7" sqref="B7:B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8" t="s">
        <v>244</v>
      </c>
      <c r="C1" s="809"/>
      <c r="D1" s="809"/>
      <c r="E1" s="809"/>
      <c r="F1" s="810"/>
      <c r="G1" s="185" t="s">
        <v>207</v>
      </c>
    </row>
    <row r="2" spans="1:9" ht="13.5" customHeight="1" thickBot="1">
      <c r="A2" s="4"/>
      <c r="B2" s="177"/>
      <c r="C2" s="178"/>
      <c r="D2" s="178"/>
      <c r="E2" s="178"/>
      <c r="F2" s="180"/>
      <c r="G2" s="239"/>
    </row>
    <row r="3" spans="1:9" ht="30" customHeight="1" thickBot="1">
      <c r="A3" s="4"/>
      <c r="B3" s="189" t="s">
        <v>8</v>
      </c>
      <c r="C3" s="192"/>
      <c r="D3" s="192"/>
      <c r="E3" s="192"/>
      <c r="F3" s="193"/>
      <c r="G3" s="285" t="s">
        <v>290</v>
      </c>
    </row>
    <row r="4" spans="1:9" ht="31.5" customHeight="1" thickBot="1">
      <c r="A4" s="4"/>
      <c r="B4" s="167" t="s">
        <v>9</v>
      </c>
      <c r="C4" s="826" t="s">
        <v>623</v>
      </c>
      <c r="D4" s="826"/>
      <c r="E4" s="826"/>
      <c r="F4" s="827"/>
      <c r="G4" s="143" t="s">
        <v>288</v>
      </c>
    </row>
    <row r="5" spans="1:9" ht="32.25" customHeight="1" thickBot="1">
      <c r="A5" s="4"/>
      <c r="B5" s="190" t="s">
        <v>10</v>
      </c>
      <c r="C5" s="830" t="s">
        <v>626</v>
      </c>
      <c r="D5" s="831"/>
      <c r="E5" s="831"/>
      <c r="F5" s="832"/>
      <c r="G5" s="143" t="s">
        <v>209</v>
      </c>
    </row>
    <row r="6" spans="1:9" ht="56.25" customHeight="1" thickBot="1">
      <c r="A6" s="4"/>
      <c r="B6" s="191" t="s">
        <v>11</v>
      </c>
      <c r="C6" s="833" t="s">
        <v>649</v>
      </c>
      <c r="D6" s="834"/>
      <c r="E6" s="834"/>
      <c r="F6" s="835"/>
      <c r="G6" s="143" t="s">
        <v>210</v>
      </c>
    </row>
    <row r="7" spans="1:9" ht="24" customHeight="1">
      <c r="A7" s="220" t="s">
        <v>333</v>
      </c>
      <c r="B7" s="819" t="s">
        <v>12</v>
      </c>
      <c r="C7" s="204" t="s">
        <v>333</v>
      </c>
      <c r="D7" s="800" t="s">
        <v>438</v>
      </c>
      <c r="E7" s="800"/>
      <c r="F7" s="801"/>
      <c r="G7" s="790" t="s">
        <v>364</v>
      </c>
      <c r="I7" s="85"/>
    </row>
    <row r="8" spans="1:9" ht="24" customHeight="1">
      <c r="A8" s="4"/>
      <c r="B8" s="820"/>
      <c r="C8" s="205"/>
      <c r="D8" s="807" t="s">
        <v>439</v>
      </c>
      <c r="E8" s="802"/>
      <c r="F8" s="803"/>
      <c r="G8" s="791"/>
    </row>
    <row r="9" spans="1:9" ht="24" customHeight="1">
      <c r="A9" s="4"/>
      <c r="B9" s="820"/>
      <c r="C9" s="205"/>
      <c r="D9" s="802" t="s">
        <v>436</v>
      </c>
      <c r="E9" s="802"/>
      <c r="F9" s="803"/>
      <c r="G9" s="791"/>
    </row>
    <row r="10" spans="1:9" ht="24" customHeight="1">
      <c r="A10" s="4"/>
      <c r="B10" s="820"/>
      <c r="C10" s="205"/>
      <c r="D10" s="802" t="s">
        <v>437</v>
      </c>
      <c r="E10" s="802"/>
      <c r="F10" s="803"/>
      <c r="G10" s="791"/>
    </row>
    <row r="11" spans="1:9" ht="24" customHeight="1" thickBot="1">
      <c r="A11" s="4"/>
      <c r="B11" s="818"/>
      <c r="C11" s="207"/>
      <c r="D11" s="836"/>
      <c r="E11" s="836"/>
      <c r="F11" s="837"/>
      <c r="G11" s="792"/>
    </row>
    <row r="12" spans="1:9" ht="24" customHeight="1">
      <c r="A12" s="220" t="s">
        <v>333</v>
      </c>
      <c r="B12" s="814" t="s">
        <v>241</v>
      </c>
      <c r="C12" s="204" t="s">
        <v>333</v>
      </c>
      <c r="D12" s="800" t="s">
        <v>368</v>
      </c>
      <c r="E12" s="800"/>
      <c r="F12" s="801"/>
      <c r="G12" s="790" t="s">
        <v>363</v>
      </c>
    </row>
    <row r="13" spans="1:9" ht="24" customHeight="1">
      <c r="A13" s="4"/>
      <c r="B13" s="815"/>
      <c r="C13" s="205"/>
      <c r="D13" s="802" t="s">
        <v>369</v>
      </c>
      <c r="E13" s="802"/>
      <c r="F13" s="803"/>
      <c r="G13" s="791"/>
    </row>
    <row r="14" spans="1:9" ht="24" customHeight="1">
      <c r="A14" s="4"/>
      <c r="B14" s="815"/>
      <c r="C14" s="205"/>
      <c r="D14" s="802" t="s">
        <v>370</v>
      </c>
      <c r="E14" s="802"/>
      <c r="F14" s="803"/>
      <c r="G14" s="791"/>
    </row>
    <row r="15" spans="1:9" ht="24" customHeight="1" thickBot="1">
      <c r="A15" s="4"/>
      <c r="B15" s="816"/>
      <c r="C15" s="206"/>
      <c r="D15" s="821" t="s">
        <v>371</v>
      </c>
      <c r="E15" s="821"/>
      <c r="F15" s="822"/>
      <c r="G15" s="792"/>
    </row>
    <row r="16" spans="1:9" ht="76.5" customHeight="1" thickBot="1">
      <c r="A16" s="4"/>
      <c r="B16" s="167" t="s">
        <v>25</v>
      </c>
      <c r="C16" s="804" t="s">
        <v>750</v>
      </c>
      <c r="D16" s="805"/>
      <c r="E16" s="805"/>
      <c r="F16" s="806"/>
      <c r="G16" s="292" t="s">
        <v>435</v>
      </c>
    </row>
    <row r="17" spans="1:9" ht="122.25" customHeight="1" thickBot="1">
      <c r="A17" s="4"/>
      <c r="B17" s="817" t="s">
        <v>26</v>
      </c>
      <c r="C17" s="804" t="s">
        <v>749</v>
      </c>
      <c r="D17" s="805"/>
      <c r="E17" s="805"/>
      <c r="F17" s="806"/>
      <c r="G17" s="292" t="s">
        <v>362</v>
      </c>
    </row>
    <row r="18" spans="1:9" ht="17.25" customHeight="1" thickBot="1">
      <c r="A18" s="4"/>
      <c r="B18" s="818"/>
      <c r="C18" s="804"/>
      <c r="D18" s="805"/>
      <c r="E18" s="805"/>
      <c r="F18" s="806"/>
      <c r="G18" s="293" t="s">
        <v>289</v>
      </c>
    </row>
    <row r="19" spans="1:9" ht="17.25" customHeight="1" thickBot="1">
      <c r="A19" s="4"/>
      <c r="B19" s="286"/>
      <c r="C19" s="287"/>
      <c r="D19" s="287"/>
      <c r="E19" s="287"/>
      <c r="F19" s="296"/>
      <c r="G19" s="294" t="s">
        <v>380</v>
      </c>
    </row>
    <row r="20" spans="1:9" ht="36" customHeight="1" thickBot="1">
      <c r="A20" s="237">
        <v>250</v>
      </c>
      <c r="B20" s="46" t="s">
        <v>1</v>
      </c>
      <c r="C20" s="146">
        <f>LEN(C21)</f>
        <v>123</v>
      </c>
      <c r="D20" s="739" t="str">
        <f>IF(C20&gt;A20,CONCATENATE("Karaktertúllépés! Kérjük, válaszát maximum ",A20," karakterben foglalja össze!"),CONCATENATE("Még beírható karakterek száma:   ",A20-C20))</f>
        <v>Még beírható karakterek száma:   127</v>
      </c>
      <c r="E20" s="799"/>
      <c r="F20" s="740"/>
      <c r="G20" s="295" t="s">
        <v>381</v>
      </c>
    </row>
    <row r="21" spans="1:9" ht="72.75" customHeight="1" thickBot="1">
      <c r="A21" s="4"/>
      <c r="B21" s="167" t="s">
        <v>321</v>
      </c>
      <c r="C21" s="823" t="s">
        <v>654</v>
      </c>
      <c r="D21" s="824"/>
      <c r="E21" s="824"/>
      <c r="F21" s="825"/>
      <c r="G21" s="143" t="s">
        <v>20</v>
      </c>
    </row>
    <row r="22" spans="1:9" ht="21.75" customHeight="1">
      <c r="A22" s="220" t="s">
        <v>333</v>
      </c>
      <c r="B22" s="811" t="s">
        <v>378</v>
      </c>
      <c r="C22" s="204" t="s">
        <v>333</v>
      </c>
      <c r="D22" s="800" t="s">
        <v>372</v>
      </c>
      <c r="E22" s="800"/>
      <c r="F22" s="801"/>
      <c r="G22" s="790" t="s">
        <v>361</v>
      </c>
      <c r="I22" s="85"/>
    </row>
    <row r="23" spans="1:9" ht="21.75" customHeight="1">
      <c r="A23" s="4"/>
      <c r="B23" s="812"/>
      <c r="C23" s="205"/>
      <c r="D23" s="802" t="s">
        <v>377</v>
      </c>
      <c r="E23" s="802"/>
      <c r="F23" s="803"/>
      <c r="G23" s="791"/>
    </row>
    <row r="24" spans="1:9" ht="21.75" customHeight="1">
      <c r="A24" s="4"/>
      <c r="B24" s="812"/>
      <c r="C24" s="205"/>
      <c r="D24" s="802" t="s">
        <v>373</v>
      </c>
      <c r="E24" s="802"/>
      <c r="F24" s="803"/>
      <c r="G24" s="791"/>
    </row>
    <row r="25" spans="1:9" ht="21.75" customHeight="1">
      <c r="A25" s="4"/>
      <c r="B25" s="812"/>
      <c r="C25" s="205"/>
      <c r="D25" s="802" t="s">
        <v>374</v>
      </c>
      <c r="E25" s="802"/>
      <c r="F25" s="803"/>
      <c r="G25" s="791"/>
    </row>
    <row r="26" spans="1:9" ht="21.75" customHeight="1">
      <c r="A26" s="4"/>
      <c r="B26" s="812"/>
      <c r="C26" s="205"/>
      <c r="D26" s="802" t="s">
        <v>375</v>
      </c>
      <c r="E26" s="802"/>
      <c r="F26" s="803"/>
      <c r="G26" s="791"/>
    </row>
    <row r="27" spans="1:9" ht="21.75" customHeight="1" thickBot="1">
      <c r="A27" s="4"/>
      <c r="B27" s="813"/>
      <c r="C27" s="206"/>
      <c r="D27" s="821" t="s">
        <v>376</v>
      </c>
      <c r="E27" s="821"/>
      <c r="F27" s="822"/>
      <c r="G27" s="792"/>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797" t="s">
        <v>14</v>
      </c>
      <c r="D30" s="798"/>
      <c r="E30" s="88" t="s">
        <v>22</v>
      </c>
      <c r="F30" s="230" t="s">
        <v>21</v>
      </c>
      <c r="G30" s="790" t="s">
        <v>212</v>
      </c>
    </row>
    <row r="31" spans="1:9" ht="47.25" customHeight="1" thickBot="1">
      <c r="A31" s="4"/>
      <c r="B31" s="191" t="s">
        <v>15</v>
      </c>
      <c r="C31" s="828" t="s">
        <v>621</v>
      </c>
      <c r="D31" s="829"/>
      <c r="E31" s="138">
        <v>1</v>
      </c>
      <c r="F31" s="139">
        <v>1</v>
      </c>
      <c r="G31" s="791"/>
    </row>
    <row r="32" spans="1:9" ht="47.25" customHeight="1" thickBot="1">
      <c r="A32" s="4"/>
      <c r="B32" s="191" t="s">
        <v>16</v>
      </c>
      <c r="C32" s="793"/>
      <c r="D32" s="794"/>
      <c r="E32" s="138"/>
      <c r="F32" s="139"/>
      <c r="G32" s="791"/>
    </row>
    <row r="33" spans="1:7" ht="47.25" customHeight="1" thickBot="1">
      <c r="A33" s="4"/>
      <c r="B33" s="190" t="s">
        <v>17</v>
      </c>
      <c r="C33" s="795"/>
      <c r="D33" s="796"/>
      <c r="E33" s="140"/>
      <c r="F33" s="141"/>
      <c r="G33" s="792"/>
    </row>
    <row r="34" spans="1:7" s="142" customFormat="1" ht="11.25" customHeight="1">
      <c r="A34" s="188"/>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323</v>
      </c>
      <c r="D36" s="739" t="str">
        <f>IF(C36&gt;A36,CONCATENATE("Karaktertúllépés! Kérjük, válaszát maximum ",A36," karakterben foglalja össze!"),CONCATENATE("Még beírható karakterek száma:   ",A36-C36))</f>
        <v>Még beírható karakterek száma:   177</v>
      </c>
      <c r="E36" s="799"/>
      <c r="F36" s="740"/>
      <c r="G36" s="143"/>
    </row>
    <row r="37" spans="1:7" ht="144" customHeight="1" thickBot="1">
      <c r="A37" s="4"/>
      <c r="B37" s="167" t="s">
        <v>23</v>
      </c>
      <c r="C37" s="775" t="s">
        <v>655</v>
      </c>
      <c r="D37" s="776"/>
      <c r="E37" s="776"/>
      <c r="F37" s="777"/>
      <c r="G37" s="143" t="s">
        <v>211</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158</v>
      </c>
      <c r="D40" s="739" t="str">
        <f>IF(C40&gt;A40,CONCATENATE("Karaktertúllépés! Kérjük, válaszát maximum ",A40," karakterben foglalja össze!"),CONCATENATE("Még beírható karakterek száma:   ",A40-C40))</f>
        <v>Még beírható karakterek száma:   92</v>
      </c>
      <c r="E40" s="799"/>
      <c r="F40" s="740"/>
      <c r="G40" s="143"/>
    </row>
    <row r="41" spans="1:7" ht="122.25" customHeight="1" thickBot="1">
      <c r="A41" s="4"/>
      <c r="B41" s="167" t="s">
        <v>274</v>
      </c>
      <c r="C41" s="775" t="s">
        <v>656</v>
      </c>
      <c r="D41" s="776"/>
      <c r="E41" s="776"/>
      <c r="F41" s="777"/>
      <c r="G41" s="143" t="s">
        <v>273</v>
      </c>
    </row>
    <row r="42" spans="1:7" ht="21" thickBot="1">
      <c r="A42" s="4"/>
      <c r="B42" s="288"/>
      <c r="C42" s="287"/>
      <c r="D42" s="287"/>
      <c r="E42" s="287"/>
      <c r="F42" s="296"/>
      <c r="G42" s="240"/>
    </row>
    <row r="43" spans="1:7" ht="30.75" customHeight="1" thickBot="1">
      <c r="A43" s="237">
        <v>250</v>
      </c>
      <c r="B43" s="46" t="s">
        <v>1</v>
      </c>
      <c r="C43" s="146">
        <f>LEN(C44)</f>
        <v>192</v>
      </c>
      <c r="D43" s="739" t="str">
        <f>IF(C43&gt;A43,CONCATENATE("Karaktertúllépés! Kérjük, válaszát maximum ",A43," karakterben foglalja össze!"),CONCATENATE("Még beírható karakterek száma:   ",A43-C43))</f>
        <v>Még beírható karakterek száma:   58</v>
      </c>
      <c r="E43" s="799"/>
      <c r="F43" s="740"/>
      <c r="G43" s="143"/>
    </row>
    <row r="44" spans="1:7" ht="126.75" customHeight="1" thickBot="1">
      <c r="A44" s="4"/>
      <c r="B44" s="167" t="s">
        <v>24</v>
      </c>
      <c r="C44" s="775" t="s">
        <v>657</v>
      </c>
      <c r="D44" s="776"/>
      <c r="E44" s="776"/>
      <c r="F44" s="777"/>
      <c r="G44" s="143" t="s">
        <v>393</v>
      </c>
    </row>
    <row r="54" ht="42.75" customHeight="1"/>
  </sheetData>
  <sheetProtection formatCells="0" formatRows="0"/>
  <mergeCells count="42">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10:F10"/>
    <mergeCell ref="B1:F1"/>
    <mergeCell ref="C37:F37"/>
    <mergeCell ref="B22:B27"/>
    <mergeCell ref="B12:B15"/>
    <mergeCell ref="B17:B18"/>
    <mergeCell ref="B7:B11"/>
    <mergeCell ref="D27:F27"/>
    <mergeCell ref="C17:F17"/>
    <mergeCell ref="C18:F18"/>
    <mergeCell ref="G30:G33"/>
    <mergeCell ref="G22:G27"/>
    <mergeCell ref="G7:G11"/>
    <mergeCell ref="G12:G15"/>
    <mergeCell ref="C32:D32"/>
    <mergeCell ref="C33:D33"/>
    <mergeCell ref="C30:D30"/>
    <mergeCell ref="D20:F20"/>
    <mergeCell ref="D22:F22"/>
    <mergeCell ref="D23:F23"/>
    <mergeCell ref="D24:F24"/>
    <mergeCell ref="D25:F25"/>
    <mergeCell ref="C16:F16"/>
    <mergeCell ref="D7:F7"/>
    <mergeCell ref="D8:F8"/>
    <mergeCell ref="D9:F9"/>
  </mergeCells>
  <conditionalFormatting sqref="E40:F40 E43:F43">
    <cfRule type="expression" dxfId="92" priority="14">
      <formula>C56&gt;A56</formula>
    </cfRule>
  </conditionalFormatting>
  <conditionalFormatting sqref="D20">
    <cfRule type="expression" dxfId="91" priority="15">
      <formula>C20&gt;A20</formula>
    </cfRule>
  </conditionalFormatting>
  <conditionalFormatting sqref="D36">
    <cfRule type="expression" dxfId="90" priority="4">
      <formula>C36&gt;A36</formula>
    </cfRule>
  </conditionalFormatting>
  <conditionalFormatting sqref="D40">
    <cfRule type="expression" dxfId="89" priority="3">
      <formula>C40&gt;A40</formula>
    </cfRule>
  </conditionalFormatting>
  <conditionalFormatting sqref="D43">
    <cfRule type="expression" dxfId="88"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view="pageBreakPreview" topLeftCell="A7"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8" t="s">
        <v>245</v>
      </c>
      <c r="C1" s="734"/>
      <c r="D1" s="734"/>
      <c r="E1" s="735"/>
      <c r="F1" s="185"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290</v>
      </c>
    </row>
    <row r="3" spans="1:16329" ht="57" customHeight="1" thickBot="1">
      <c r="B3" s="98" t="s">
        <v>28</v>
      </c>
      <c r="C3" s="842" t="s">
        <v>621</v>
      </c>
      <c r="D3" s="843"/>
      <c r="E3" s="844"/>
      <c r="F3" s="838" t="s">
        <v>365</v>
      </c>
    </row>
    <row r="4" spans="1:16329" ht="50.25" customHeight="1" thickBot="1">
      <c r="B4" s="84" t="s">
        <v>322</v>
      </c>
      <c r="C4" s="859">
        <v>32867</v>
      </c>
      <c r="D4" s="843"/>
      <c r="E4" s="844"/>
      <c r="F4" s="839"/>
    </row>
    <row r="5" spans="1:16329" ht="53.25" customHeight="1" thickBot="1">
      <c r="B5" s="84" t="s">
        <v>323</v>
      </c>
      <c r="C5" s="842">
        <v>8449180309</v>
      </c>
      <c r="D5" s="843"/>
      <c r="E5" s="844"/>
      <c r="F5" s="839"/>
    </row>
    <row r="6" spans="1:16329" ht="33" customHeight="1" thickBot="1">
      <c r="B6" s="84" t="s">
        <v>29</v>
      </c>
      <c r="C6" s="842" t="s">
        <v>628</v>
      </c>
      <c r="D6" s="843"/>
      <c r="E6" s="844"/>
      <c r="F6" s="839"/>
    </row>
    <row r="7" spans="1:16329" ht="33" customHeight="1" thickBot="1">
      <c r="B7" s="84" t="s">
        <v>30</v>
      </c>
      <c r="C7" s="860" t="s">
        <v>629</v>
      </c>
      <c r="D7" s="843"/>
      <c r="E7" s="844"/>
      <c r="F7" s="839"/>
    </row>
    <row r="8" spans="1:16329" ht="33" customHeight="1" thickBot="1">
      <c r="B8" s="84" t="s">
        <v>31</v>
      </c>
      <c r="C8" s="842">
        <v>36709468955</v>
      </c>
      <c r="D8" s="843"/>
      <c r="E8" s="844"/>
      <c r="F8" s="93"/>
    </row>
    <row r="9" spans="1:16329" ht="54.75" customHeight="1" thickBot="1">
      <c r="B9" s="84" t="s">
        <v>32</v>
      </c>
      <c r="C9" s="842" t="s">
        <v>627</v>
      </c>
      <c r="D9" s="843"/>
      <c r="E9" s="844"/>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842" t="str">
        <f>C3</f>
        <v>Dobos Dániel</v>
      </c>
      <c r="D12" s="843"/>
      <c r="E12" s="844"/>
      <c r="F12" s="143" t="s">
        <v>213</v>
      </c>
    </row>
    <row r="13" spans="1:16329" ht="18" customHeight="1" thickBot="1">
      <c r="B13" s="247"/>
      <c r="C13" s="70"/>
      <c r="D13" s="70"/>
      <c r="E13" s="245"/>
      <c r="F13" s="93"/>
    </row>
    <row r="14" spans="1:16329" ht="32.25" customHeight="1" thickBot="1">
      <c r="A14" s="237">
        <v>250</v>
      </c>
      <c r="B14" s="46" t="s">
        <v>1</v>
      </c>
      <c r="C14" s="187">
        <f>LEN(C15)</f>
        <v>157</v>
      </c>
      <c r="D14" s="840" t="str">
        <f>IF(C14&gt;A14,CONCATENATE("Karaktertúllépés! Kérjük, válaszát maximum ",A14," karakterben foglalja össze!"),CONCATENATE("Még beírható karakterek száma:   ",A14-C14))</f>
        <v>Még beírható karakterek száma:   93</v>
      </c>
      <c r="E14" s="841"/>
      <c r="F14" s="93"/>
    </row>
    <row r="15" spans="1:16329" ht="84" customHeight="1" thickBot="1">
      <c r="B15" s="84" t="s">
        <v>275</v>
      </c>
      <c r="C15" s="842" t="s">
        <v>730</v>
      </c>
      <c r="D15" s="843"/>
      <c r="E15" s="844"/>
      <c r="F15" s="93"/>
    </row>
    <row r="16" spans="1:16329" ht="18" customHeight="1" thickBot="1">
      <c r="B16" s="241"/>
      <c r="C16" s="70"/>
      <c r="D16" s="70"/>
      <c r="E16" s="245"/>
      <c r="F16" s="93"/>
    </row>
    <row r="17" spans="1:6" ht="32.25" customHeight="1" thickBot="1">
      <c r="A17" s="237">
        <v>250</v>
      </c>
      <c r="B17" s="46" t="s">
        <v>1</v>
      </c>
      <c r="C17" s="187">
        <f>LEN(C18)</f>
        <v>238</v>
      </c>
      <c r="D17" s="840" t="str">
        <f>IF(C17&gt;A17,CONCATENATE("Karaktertúllépés! Kérjük, válaszát maximum ",A17," karakterben foglalja össze!"),CONCATENATE("Még beírható karakterek száma:   ",A17-C17))</f>
        <v>Még beírható karakterek száma:   12</v>
      </c>
      <c r="E17" s="841"/>
      <c r="F17" s="93"/>
    </row>
    <row r="18" spans="1:6" ht="101.25" customHeight="1" thickBot="1">
      <c r="B18" s="98" t="s">
        <v>38</v>
      </c>
      <c r="C18" s="842" t="s">
        <v>731</v>
      </c>
      <c r="D18" s="843"/>
      <c r="E18" s="844"/>
      <c r="F18" s="93"/>
    </row>
    <row r="19" spans="1:6" ht="13.5" customHeight="1" thickBot="1">
      <c r="B19" s="241"/>
      <c r="C19" s="70"/>
      <c r="D19" s="70"/>
      <c r="E19" s="245"/>
      <c r="F19" s="93"/>
    </row>
    <row r="20" spans="1:6" ht="42" customHeight="1">
      <c r="B20" s="850" t="s">
        <v>34</v>
      </c>
      <c r="C20" s="228" t="s">
        <v>236</v>
      </c>
      <c r="D20" s="763" t="s">
        <v>630</v>
      </c>
      <c r="E20" s="764"/>
      <c r="F20" s="93"/>
    </row>
    <row r="21" spans="1:6" ht="42" customHeight="1" thickBot="1">
      <c r="B21" s="851"/>
      <c r="C21" s="712">
        <v>1448000</v>
      </c>
      <c r="D21" s="845">
        <v>1214000</v>
      </c>
      <c r="E21" s="846"/>
      <c r="F21" s="93"/>
    </row>
    <row r="22" spans="1:6" ht="27" customHeight="1" thickBot="1">
      <c r="B22" s="241"/>
      <c r="C22" s="70"/>
      <c r="D22" s="70"/>
      <c r="E22" s="245"/>
      <c r="F22" s="93"/>
    </row>
    <row r="23" spans="1:6" ht="25.5" customHeight="1" thickBot="1">
      <c r="B23" s="258" t="s">
        <v>35</v>
      </c>
      <c r="C23" s="90"/>
      <c r="D23" s="90"/>
      <c r="E23" s="259"/>
      <c r="F23" s="856" t="s">
        <v>277</v>
      </c>
    </row>
    <row r="24" spans="1:6" ht="45" customHeight="1" thickBot="1">
      <c r="B24" s="102"/>
      <c r="C24" s="116" t="s">
        <v>36</v>
      </c>
      <c r="D24" s="854" t="s">
        <v>37</v>
      </c>
      <c r="E24" s="855"/>
      <c r="F24" s="857"/>
    </row>
    <row r="25" spans="1:6" ht="45" customHeight="1" thickBot="1">
      <c r="A25" s="237">
        <v>500</v>
      </c>
      <c r="B25" s="46" t="s">
        <v>1</v>
      </c>
      <c r="C25" s="187">
        <f>LEN(C26)+LEN(D26)</f>
        <v>138</v>
      </c>
      <c r="D25" s="840" t="str">
        <f>IF(C25&gt;A25,CONCATENATE("Karaktertúllépés! Kérjük, válaszát maximum ",A25," karakterben foglalja össze!"),CONCATENATE("Még beírható karakterek száma:   ",A25-C25))</f>
        <v>Még beírható karakterek száma:   362</v>
      </c>
      <c r="E25" s="841"/>
      <c r="F25" s="284" t="s">
        <v>266</v>
      </c>
    </row>
    <row r="26" spans="1:6" s="69" customFormat="1" ht="157.5" customHeight="1" thickBot="1">
      <c r="B26" s="103" t="s">
        <v>232</v>
      </c>
      <c r="C26" s="229" t="s">
        <v>658</v>
      </c>
      <c r="D26" s="842" t="s">
        <v>659</v>
      </c>
      <c r="E26" s="844"/>
      <c r="F26" s="256" t="s">
        <v>267</v>
      </c>
    </row>
    <row r="27" spans="1:6" ht="27.75" customHeight="1" thickBot="1">
      <c r="A27" s="237">
        <v>500</v>
      </c>
      <c r="B27" s="46" t="s">
        <v>1</v>
      </c>
      <c r="C27" s="187">
        <f>LEN(C28)+LEN(D28)</f>
        <v>221</v>
      </c>
      <c r="D27" s="840" t="str">
        <f>IF(C27&gt;A27,CONCATENATE("Karaktertúllépés! Kérjük, válaszát maximum ",A27," karakterben foglalja össze!"),CONCATENATE("Még beírható karakterek száma:   ",A27-C27))</f>
        <v>Még beírható karakterek száma:   279</v>
      </c>
      <c r="E27" s="841"/>
      <c r="F27" s="239"/>
    </row>
    <row r="28" spans="1:6" s="69" customFormat="1" ht="160.5" customHeight="1" thickBot="1">
      <c r="B28" s="103" t="s">
        <v>233</v>
      </c>
      <c r="C28" s="229" t="s">
        <v>660</v>
      </c>
      <c r="D28" s="842" t="s">
        <v>661</v>
      </c>
      <c r="E28" s="844"/>
      <c r="F28" s="253" t="s">
        <v>276</v>
      </c>
    </row>
    <row r="29" spans="1:6" ht="27.75" customHeight="1" thickBot="1">
      <c r="A29" s="237">
        <v>500</v>
      </c>
      <c r="B29" s="46" t="s">
        <v>1</v>
      </c>
      <c r="C29" s="187">
        <f>LEN(C30)+LEN(D30)</f>
        <v>176</v>
      </c>
      <c r="D29" s="840" t="str">
        <f>IF(C29&gt;A29,CONCATENATE("Karaktertúllépés! Kérjük, válaszát maximum ",A29," karakterben foglalja össze!"),CONCATENATE("Még beírható karakterek száma:   ",A29-C29))</f>
        <v>Még beírható karakterek száma:   324</v>
      </c>
      <c r="E29" s="841"/>
      <c r="F29" s="239"/>
    </row>
    <row r="30" spans="1:6" s="69" customFormat="1" ht="147.75" customHeight="1" thickBot="1">
      <c r="B30" s="103" t="s">
        <v>235</v>
      </c>
      <c r="C30" s="229" t="s">
        <v>663</v>
      </c>
      <c r="D30" s="842" t="s">
        <v>664</v>
      </c>
      <c r="E30" s="844"/>
      <c r="F30" s="253" t="s">
        <v>406</v>
      </c>
    </row>
    <row r="31" spans="1:6" ht="24.75" customHeight="1" thickBot="1">
      <c r="A31" s="237">
        <v>500</v>
      </c>
      <c r="B31" s="46" t="s">
        <v>1</v>
      </c>
      <c r="C31" s="187">
        <f>LEN(C32)+LEN(D32)</f>
        <v>421</v>
      </c>
      <c r="D31" s="840" t="str">
        <f>IF(C31&gt;A31,CONCATENATE("Karaktertúllépés! Kérjük, válaszát maximum ",A31," karakterben foglalja össze!"),CONCATENATE("Még beírható karakterek száma:   ",A31-C31))</f>
        <v>Még beírható karakterek száma:   79</v>
      </c>
      <c r="E31" s="841"/>
      <c r="F31" s="239"/>
    </row>
    <row r="32" spans="1:6" s="69" customFormat="1" ht="150.75" customHeight="1" thickBot="1">
      <c r="B32" s="103" t="s">
        <v>234</v>
      </c>
      <c r="C32" s="229" t="s">
        <v>662</v>
      </c>
      <c r="D32" s="842" t="s">
        <v>665</v>
      </c>
      <c r="E32" s="844"/>
      <c r="F32" s="257" t="s">
        <v>407</v>
      </c>
    </row>
    <row r="33" spans="2:6" ht="18.75" customHeight="1">
      <c r="B33" s="86"/>
    </row>
    <row r="34" spans="2:6" ht="11.25" hidden="1" customHeight="1">
      <c r="B34" s="86"/>
    </row>
    <row r="35" spans="2:6" ht="44.25" hidden="1" customHeight="1" thickBot="1">
      <c r="B35" s="849" t="s">
        <v>324</v>
      </c>
      <c r="C35" s="849"/>
      <c r="D35" s="849"/>
      <c r="E35" s="849"/>
      <c r="F35" s="112"/>
    </row>
    <row r="36" spans="2:6" ht="57" hidden="1" customHeight="1" thickBot="1">
      <c r="B36" s="98" t="s">
        <v>28</v>
      </c>
      <c r="C36" s="842"/>
      <c r="D36" s="843"/>
      <c r="E36" s="844"/>
      <c r="F36" s="143"/>
    </row>
    <row r="37" spans="2:6" ht="50.25" hidden="1" customHeight="1" thickBot="1">
      <c r="B37" s="84" t="s">
        <v>322</v>
      </c>
      <c r="C37" s="842"/>
      <c r="D37" s="843"/>
      <c r="E37" s="844"/>
      <c r="F37" s="93"/>
    </row>
    <row r="38" spans="2:6" ht="53.25" hidden="1" customHeight="1" thickBot="1">
      <c r="B38" s="84" t="s">
        <v>323</v>
      </c>
      <c r="C38" s="842"/>
      <c r="D38" s="843"/>
      <c r="E38" s="844"/>
      <c r="F38" s="93"/>
    </row>
    <row r="39" spans="2:6" ht="33" hidden="1" customHeight="1" thickBot="1">
      <c r="B39" s="84" t="s">
        <v>29</v>
      </c>
      <c r="C39" s="842"/>
      <c r="D39" s="843"/>
      <c r="E39" s="844"/>
      <c r="F39" s="93"/>
    </row>
    <row r="40" spans="2:6" ht="33" hidden="1" customHeight="1" thickBot="1">
      <c r="B40" s="84" t="s">
        <v>30</v>
      </c>
      <c r="C40" s="842"/>
      <c r="D40" s="843"/>
      <c r="E40" s="844"/>
      <c r="F40" s="93"/>
    </row>
    <row r="41" spans="2:6" ht="33" hidden="1" customHeight="1" thickBot="1">
      <c r="B41" s="84" t="s">
        <v>31</v>
      </c>
      <c r="C41" s="842"/>
      <c r="D41" s="843"/>
      <c r="E41" s="844"/>
      <c r="F41" s="93"/>
    </row>
    <row r="42" spans="2:6" ht="54.75" hidden="1" customHeight="1" thickBot="1">
      <c r="B42" s="84" t="s">
        <v>32</v>
      </c>
      <c r="C42" s="842"/>
      <c r="D42" s="843"/>
      <c r="E42" s="844"/>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2">
        <f>C36</f>
        <v>0</v>
      </c>
      <c r="D45" s="843"/>
      <c r="E45" s="84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842"/>
      <c r="D48" s="843"/>
      <c r="E48" s="844"/>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2"/>
      <c r="D51" s="843"/>
      <c r="E51" s="844"/>
      <c r="F51" s="93"/>
    </row>
    <row r="52" spans="2:6" ht="24" hidden="1" customHeight="1" thickBot="1">
      <c r="B52" s="86"/>
      <c r="F52" s="93"/>
    </row>
    <row r="53" spans="2:6" ht="42" hidden="1" customHeight="1">
      <c r="B53" s="850" t="s">
        <v>34</v>
      </c>
      <c r="C53" s="115" t="s">
        <v>124</v>
      </c>
      <c r="D53" s="763" t="s">
        <v>236</v>
      </c>
      <c r="E53" s="764"/>
      <c r="F53" s="93"/>
    </row>
    <row r="54" spans="2:6" ht="48.75" hidden="1" customHeight="1" thickBot="1">
      <c r="B54" s="851"/>
      <c r="C54" s="144"/>
      <c r="D54" s="852"/>
      <c r="E54" s="853"/>
      <c r="F54" s="93"/>
    </row>
    <row r="55" spans="2:6" ht="35.25" hidden="1" customHeight="1">
      <c r="B55" s="86"/>
      <c r="F55" s="93"/>
    </row>
    <row r="56" spans="2:6" ht="25.5" hidden="1" customHeight="1" thickBot="1">
      <c r="B56" s="87" t="s">
        <v>35</v>
      </c>
      <c r="F56" s="847"/>
    </row>
    <row r="57" spans="2:6" ht="76.5" hidden="1" customHeight="1" thickBot="1">
      <c r="B57" s="102"/>
      <c r="C57" s="116" t="s">
        <v>36</v>
      </c>
      <c r="D57" s="854" t="s">
        <v>37</v>
      </c>
      <c r="E57" s="855"/>
      <c r="F57" s="848"/>
    </row>
    <row r="58" spans="2:6" ht="28.5" hidden="1" customHeight="1" thickBot="1">
      <c r="B58" s="100" t="s">
        <v>1</v>
      </c>
      <c r="C58" s="89">
        <f>LEN(C59)+LEN(D59)</f>
        <v>0</v>
      </c>
      <c r="D58" s="90"/>
      <c r="E58" s="101"/>
      <c r="F58" s="104"/>
    </row>
    <row r="59" spans="2:6" s="118" customFormat="1" ht="159" hidden="1" customHeight="1" thickBot="1">
      <c r="B59" s="103" t="s">
        <v>232</v>
      </c>
      <c r="C59" s="145"/>
      <c r="D59" s="842"/>
      <c r="E59" s="844"/>
      <c r="F59" s="81"/>
    </row>
    <row r="60" spans="2:6" ht="25.5" hidden="1" customHeight="1" thickBot="1">
      <c r="B60" s="100" t="s">
        <v>1</v>
      </c>
      <c r="C60" s="89">
        <f>LEN(C61)+LEN(D61)</f>
        <v>0</v>
      </c>
      <c r="D60" s="90"/>
      <c r="E60" s="101"/>
      <c r="F60" s="79"/>
    </row>
    <row r="61" spans="2:6" s="118" customFormat="1" ht="159" hidden="1" customHeight="1" thickBot="1">
      <c r="B61" s="103" t="s">
        <v>233</v>
      </c>
      <c r="C61" s="145"/>
      <c r="D61" s="842"/>
      <c r="E61" s="844"/>
      <c r="F61" s="80"/>
    </row>
    <row r="62" spans="2:6" ht="25.5" hidden="1" customHeight="1" thickBot="1">
      <c r="B62" s="100" t="s">
        <v>1</v>
      </c>
      <c r="C62" s="89">
        <f>LEN(C63)+LEN(D63)</f>
        <v>0</v>
      </c>
      <c r="D62" s="90"/>
      <c r="E62" s="101"/>
      <c r="F62" s="79"/>
    </row>
    <row r="63" spans="2:6" s="118" customFormat="1" ht="160.5" hidden="1" customHeight="1" thickBot="1">
      <c r="B63" s="103" t="s">
        <v>235</v>
      </c>
      <c r="C63" s="145"/>
      <c r="D63" s="842"/>
      <c r="E63" s="844"/>
      <c r="F63" s="80"/>
    </row>
    <row r="64" spans="2:6" ht="25.5" hidden="1" customHeight="1" thickBot="1">
      <c r="B64" s="100" t="s">
        <v>1</v>
      </c>
      <c r="C64" s="89">
        <f>LEN(C65)+LEN(D65)</f>
        <v>0</v>
      </c>
      <c r="D64" s="90"/>
      <c r="E64" s="101"/>
      <c r="F64" s="79"/>
    </row>
    <row r="65" spans="2:6" s="118" customFormat="1" ht="159" hidden="1" customHeight="1" thickBot="1">
      <c r="B65" s="103" t="s">
        <v>234</v>
      </c>
      <c r="C65" s="145"/>
      <c r="D65" s="842"/>
      <c r="E65" s="844"/>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7" priority="12">
      <formula>C14&gt;A14</formula>
    </cfRule>
  </conditionalFormatting>
  <conditionalFormatting sqref="D14:E14">
    <cfRule type="expression" dxfId="86" priority="11">
      <formula>C14&gt;A14</formula>
    </cfRule>
  </conditionalFormatting>
  <conditionalFormatting sqref="D17:E17">
    <cfRule type="expression" dxfId="85" priority="10">
      <formula>C17&gt;A17</formula>
    </cfRule>
  </conditionalFormatting>
  <conditionalFormatting sqref="D17:E17">
    <cfRule type="expression" dxfId="84" priority="9">
      <formula>C17&gt;A17</formula>
    </cfRule>
  </conditionalFormatting>
  <conditionalFormatting sqref="D25:E25">
    <cfRule type="expression" dxfId="83" priority="8">
      <formula>C25&gt;A25</formula>
    </cfRule>
  </conditionalFormatting>
  <conditionalFormatting sqref="D25:E25">
    <cfRule type="expression" dxfId="82" priority="7">
      <formula>C25&gt;A25</formula>
    </cfRule>
  </conditionalFormatting>
  <conditionalFormatting sqref="D27:E27">
    <cfRule type="expression" dxfId="81" priority="6">
      <formula>C27&gt;A27</formula>
    </cfRule>
  </conditionalFormatting>
  <conditionalFormatting sqref="D27:E27">
    <cfRule type="expression" dxfId="80" priority="5">
      <formula>C27&gt;A27</formula>
    </cfRule>
  </conditionalFormatting>
  <conditionalFormatting sqref="D29:E29">
    <cfRule type="expression" dxfId="79" priority="4">
      <formula>C29&gt;A29</formula>
    </cfRule>
  </conditionalFormatting>
  <conditionalFormatting sqref="D29:E29">
    <cfRule type="expression" dxfId="78" priority="3">
      <formula>C29&gt;A29</formula>
    </cfRule>
  </conditionalFormatting>
  <conditionalFormatting sqref="D31:E31">
    <cfRule type="expression" dxfId="77" priority="2">
      <formula>C31&gt;A31</formula>
    </cfRule>
  </conditionalFormatting>
  <conditionalFormatting sqref="D31:E31">
    <cfRule type="expression" dxfId="76"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80"/>
  <sheetViews>
    <sheetView view="pageBreakPreview" topLeftCell="A13" zoomScale="70" zoomScaleNormal="70" zoomScaleSheetLayoutView="70" workbookViewId="0">
      <selection activeCell="B8" sqref="B8"/>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0" t="s">
        <v>246</v>
      </c>
      <c r="C1" s="881"/>
      <c r="D1" s="881"/>
      <c r="E1" s="881"/>
      <c r="F1" s="881"/>
      <c r="G1" s="882"/>
      <c r="H1" s="260" t="s">
        <v>207</v>
      </c>
    </row>
    <row r="2" spans="1:8" ht="30" customHeight="1" thickBot="1">
      <c r="A2" s="4"/>
      <c r="B2" s="370" t="s">
        <v>39</v>
      </c>
      <c r="C2" s="125"/>
      <c r="D2" s="125"/>
      <c r="E2" s="125"/>
      <c r="F2" s="125"/>
      <c r="G2" s="371"/>
      <c r="H2" s="129" t="s">
        <v>287</v>
      </c>
    </row>
    <row r="3" spans="1:8" s="107" customFormat="1" ht="45.75" customHeight="1" thickBot="1">
      <c r="A3" s="174"/>
      <c r="B3" s="372"/>
      <c r="C3" s="58" t="s">
        <v>40</v>
      </c>
      <c r="D3" s="58" t="s">
        <v>41</v>
      </c>
      <c r="E3" s="58" t="s">
        <v>60</v>
      </c>
      <c r="F3" s="333" t="s">
        <v>42</v>
      </c>
      <c r="G3" s="373" t="s">
        <v>61</v>
      </c>
      <c r="H3" s="886" t="s">
        <v>382</v>
      </c>
    </row>
    <row r="4" spans="1:8" ht="30" customHeight="1" thickBot="1">
      <c r="A4" s="4"/>
      <c r="B4" s="374" t="s">
        <v>43</v>
      </c>
      <c r="C4" s="194" t="s">
        <v>309</v>
      </c>
      <c r="D4" s="170"/>
      <c r="E4" s="170"/>
      <c r="F4" s="170"/>
      <c r="G4" s="375">
        <f>SUM(G5:G16)</f>
        <v>0</v>
      </c>
      <c r="H4" s="887"/>
    </row>
    <row r="5" spans="1:8" ht="45" customHeight="1" thickBot="1">
      <c r="A5" s="4"/>
      <c r="B5" s="376" t="s">
        <v>44</v>
      </c>
      <c r="C5" s="215" t="s">
        <v>631</v>
      </c>
      <c r="D5" s="149" t="s">
        <v>632</v>
      </c>
      <c r="E5" s="149" t="s">
        <v>633</v>
      </c>
      <c r="F5" s="711">
        <v>43405</v>
      </c>
      <c r="G5" s="377">
        <v>0</v>
      </c>
      <c r="H5" s="887"/>
    </row>
    <row r="6" spans="1:8" ht="45" hidden="1" customHeight="1">
      <c r="A6" s="4"/>
      <c r="B6" s="378" t="s">
        <v>44</v>
      </c>
      <c r="C6" s="216"/>
      <c r="D6" s="148"/>
      <c r="E6" s="148"/>
      <c r="F6" s="148"/>
      <c r="G6" s="379"/>
      <c r="H6" s="887"/>
    </row>
    <row r="7" spans="1:8" ht="45" hidden="1" customHeight="1">
      <c r="A7" s="4"/>
      <c r="B7" s="378" t="s">
        <v>44</v>
      </c>
      <c r="C7" s="216"/>
      <c r="D7" s="148"/>
      <c r="E7" s="148"/>
      <c r="F7" s="148"/>
      <c r="G7" s="379"/>
      <c r="H7" s="887"/>
    </row>
    <row r="8" spans="1:8" ht="45" hidden="1" customHeight="1" thickBot="1">
      <c r="A8" s="4"/>
      <c r="B8" s="380" t="s">
        <v>44</v>
      </c>
      <c r="C8" s="217"/>
      <c r="D8" s="151"/>
      <c r="E8" s="151"/>
      <c r="F8" s="151"/>
      <c r="G8" s="381"/>
      <c r="H8" s="887"/>
    </row>
    <row r="9" spans="1:8" ht="45" customHeight="1" thickBot="1">
      <c r="A9" s="4"/>
      <c r="B9" s="376" t="s">
        <v>62</v>
      </c>
      <c r="C9" s="215"/>
      <c r="D9" s="149"/>
      <c r="E9" s="149"/>
      <c r="F9" s="149"/>
      <c r="G9" s="377"/>
      <c r="H9" s="887"/>
    </row>
    <row r="10" spans="1:8" ht="45" hidden="1" customHeight="1">
      <c r="A10" s="4"/>
      <c r="B10" s="378" t="s">
        <v>62</v>
      </c>
      <c r="C10" s="216"/>
      <c r="D10" s="148"/>
      <c r="E10" s="148"/>
      <c r="F10" s="148"/>
      <c r="G10" s="379"/>
      <c r="H10" s="887"/>
    </row>
    <row r="11" spans="1:8" ht="45" hidden="1" customHeight="1">
      <c r="A11" s="4"/>
      <c r="B11" s="378" t="s">
        <v>62</v>
      </c>
      <c r="C11" s="216"/>
      <c r="D11" s="148"/>
      <c r="E11" s="148"/>
      <c r="F11" s="148"/>
      <c r="G11" s="379"/>
      <c r="H11" s="887"/>
    </row>
    <row r="12" spans="1:8" ht="45" hidden="1" customHeight="1" thickBot="1">
      <c r="A12" s="4"/>
      <c r="B12" s="380" t="s">
        <v>62</v>
      </c>
      <c r="C12" s="217"/>
      <c r="D12" s="151"/>
      <c r="E12" s="151"/>
      <c r="F12" s="151"/>
      <c r="G12" s="381"/>
      <c r="H12" s="887"/>
    </row>
    <row r="13" spans="1:8" ht="45" customHeight="1" thickBot="1">
      <c r="A13" s="4"/>
      <c r="B13" s="376" t="s">
        <v>63</v>
      </c>
      <c r="C13" s="218"/>
      <c r="D13" s="219"/>
      <c r="E13" s="219"/>
      <c r="F13" s="219"/>
      <c r="G13" s="382"/>
      <c r="H13" s="887"/>
    </row>
    <row r="14" spans="1:8" ht="45" hidden="1" customHeight="1">
      <c r="A14" s="4"/>
      <c r="B14" s="383" t="s">
        <v>63</v>
      </c>
      <c r="C14" s="214"/>
      <c r="D14" s="214"/>
      <c r="E14" s="214"/>
      <c r="F14" s="214"/>
      <c r="G14" s="384"/>
      <c r="H14" s="887"/>
    </row>
    <row r="15" spans="1:8" ht="45" hidden="1" customHeight="1">
      <c r="A15" s="4"/>
      <c r="B15" s="383" t="s">
        <v>63</v>
      </c>
      <c r="C15" s="148"/>
      <c r="D15" s="148"/>
      <c r="E15" s="148"/>
      <c r="F15" s="148"/>
      <c r="G15" s="379"/>
      <c r="H15" s="887"/>
    </row>
    <row r="16" spans="1:8" ht="45" hidden="1" customHeight="1" thickBot="1">
      <c r="A16" s="4"/>
      <c r="B16" s="385" t="s">
        <v>63</v>
      </c>
      <c r="C16" s="150"/>
      <c r="D16" s="150"/>
      <c r="E16" s="150"/>
      <c r="F16" s="150"/>
      <c r="G16" s="386"/>
      <c r="H16" s="887"/>
    </row>
    <row r="17" spans="1:8" ht="31.5" customHeight="1" thickBot="1">
      <c r="A17" s="4"/>
      <c r="B17" s="359" t="s">
        <v>45</v>
      </c>
      <c r="C17" s="194" t="s">
        <v>309</v>
      </c>
      <c r="D17" s="168"/>
      <c r="E17" s="168"/>
      <c r="F17" s="168"/>
      <c r="G17" s="387">
        <f>SUM(G18:G25)</f>
        <v>561333</v>
      </c>
      <c r="H17" s="887"/>
    </row>
    <row r="18" spans="1:8" ht="44.25" customHeight="1" thickBot="1">
      <c r="A18" s="4"/>
      <c r="B18" s="376" t="s">
        <v>46</v>
      </c>
      <c r="C18" s="215"/>
      <c r="D18" s="149"/>
      <c r="E18" s="149"/>
      <c r="F18" s="711"/>
      <c r="G18" s="377"/>
      <c r="H18" s="887"/>
    </row>
    <row r="19" spans="1:8" ht="44.25" hidden="1" customHeight="1">
      <c r="A19" s="4"/>
      <c r="B19" s="378" t="s">
        <v>46</v>
      </c>
      <c r="C19" s="216"/>
      <c r="D19" s="149" t="s">
        <v>740</v>
      </c>
      <c r="E19" s="148"/>
      <c r="F19" s="148"/>
      <c r="G19" s="379"/>
      <c r="H19" s="887"/>
    </row>
    <row r="20" spans="1:8" ht="44.25" hidden="1" customHeight="1">
      <c r="A20" s="4"/>
      <c r="B20" s="378" t="s">
        <v>46</v>
      </c>
      <c r="C20" s="216"/>
      <c r="D20" s="149" t="s">
        <v>740</v>
      </c>
      <c r="E20" s="148"/>
      <c r="F20" s="148"/>
      <c r="G20" s="379"/>
      <c r="H20" s="887"/>
    </row>
    <row r="21" spans="1:8" ht="44.25" hidden="1" customHeight="1" thickBot="1">
      <c r="A21" s="4"/>
      <c r="B21" s="380" t="s">
        <v>46</v>
      </c>
      <c r="C21" s="217"/>
      <c r="D21" s="149" t="s">
        <v>740</v>
      </c>
      <c r="E21" s="151"/>
      <c r="F21" s="151"/>
      <c r="G21" s="381"/>
      <c r="H21" s="887"/>
    </row>
    <row r="22" spans="1:8" ht="48.75" customHeight="1" thickBot="1">
      <c r="A22" s="4"/>
      <c r="B22" s="376" t="s">
        <v>221</v>
      </c>
      <c r="C22" s="215" t="s">
        <v>735</v>
      </c>
      <c r="D22" s="149" t="s">
        <v>740</v>
      </c>
      <c r="E22" s="149" t="s">
        <v>741</v>
      </c>
      <c r="F22" s="711">
        <v>43405</v>
      </c>
      <c r="G22" s="377">
        <v>170890</v>
      </c>
      <c r="H22" s="887"/>
    </row>
    <row r="23" spans="1:8" ht="44.25" customHeight="1" thickBot="1">
      <c r="A23" s="4"/>
      <c r="B23" s="378" t="s">
        <v>221</v>
      </c>
      <c r="C23" s="216" t="s">
        <v>739</v>
      </c>
      <c r="D23" s="149" t="s">
        <v>740</v>
      </c>
      <c r="E23" s="149" t="s">
        <v>741</v>
      </c>
      <c r="F23" s="711">
        <v>43405</v>
      </c>
      <c r="G23" s="379">
        <v>276956</v>
      </c>
      <c r="H23" s="887"/>
    </row>
    <row r="24" spans="1:8" ht="44.25" customHeight="1" thickBot="1">
      <c r="A24" s="4"/>
      <c r="B24" s="378" t="s">
        <v>221</v>
      </c>
      <c r="C24" s="217" t="s">
        <v>737</v>
      </c>
      <c r="D24" s="149" t="s">
        <v>740</v>
      </c>
      <c r="E24" s="149" t="s">
        <v>741</v>
      </c>
      <c r="F24" s="711">
        <v>43405</v>
      </c>
      <c r="G24" s="381">
        <v>80942</v>
      </c>
      <c r="H24" s="887"/>
    </row>
    <row r="25" spans="1:8" ht="44.25" customHeight="1" thickBot="1">
      <c r="A25" s="4"/>
      <c r="B25" s="376" t="s">
        <v>47</v>
      </c>
      <c r="C25" s="216" t="s">
        <v>736</v>
      </c>
      <c r="D25" s="149" t="s">
        <v>740</v>
      </c>
      <c r="E25" s="149" t="s">
        <v>741</v>
      </c>
      <c r="F25" s="711">
        <v>43405</v>
      </c>
      <c r="G25" s="379">
        <v>32545</v>
      </c>
      <c r="H25" s="887"/>
    </row>
    <row r="26" spans="1:8" ht="44.25" hidden="1" customHeight="1">
      <c r="A26" s="4"/>
      <c r="B26" s="378" t="s">
        <v>47</v>
      </c>
      <c r="C26" s="216"/>
      <c r="D26" s="148"/>
      <c r="E26" s="148"/>
      <c r="F26" s="148"/>
      <c r="G26" s="379"/>
      <c r="H26" s="887"/>
    </row>
    <row r="27" spans="1:8" ht="44.25" hidden="1" customHeight="1">
      <c r="A27" s="4"/>
      <c r="B27" s="378" t="s">
        <v>47</v>
      </c>
      <c r="C27" s="216"/>
      <c r="D27" s="148"/>
      <c r="E27" s="148"/>
      <c r="F27" s="148"/>
      <c r="G27" s="379"/>
      <c r="H27" s="887"/>
    </row>
    <row r="28" spans="1:8" ht="44.25" hidden="1" customHeight="1" thickBot="1">
      <c r="A28" s="4"/>
      <c r="B28" s="380" t="s">
        <v>47</v>
      </c>
      <c r="C28" s="217"/>
      <c r="D28" s="151"/>
      <c r="E28" s="151"/>
      <c r="F28" s="151"/>
      <c r="G28" s="381"/>
      <c r="H28" s="887"/>
    </row>
    <row r="29" spans="1:8" ht="44.25" customHeight="1" thickBot="1">
      <c r="A29" s="4"/>
      <c r="B29" s="376" t="s">
        <v>47</v>
      </c>
      <c r="C29" s="218"/>
      <c r="D29" s="219"/>
      <c r="E29" s="219"/>
      <c r="F29" s="716"/>
      <c r="G29" s="382"/>
      <c r="H29" s="887"/>
    </row>
    <row r="30" spans="1:8" ht="44.25" hidden="1" customHeight="1">
      <c r="A30" s="4"/>
      <c r="B30" s="388" t="s">
        <v>48</v>
      </c>
      <c r="C30" s="214"/>
      <c r="D30" s="214"/>
      <c r="E30" s="214"/>
      <c r="F30" s="214"/>
      <c r="G30" s="384"/>
      <c r="H30" s="887"/>
    </row>
    <row r="31" spans="1:8" ht="44.25" hidden="1" customHeight="1">
      <c r="A31" s="4"/>
      <c r="B31" s="389" t="s">
        <v>48</v>
      </c>
      <c r="C31" s="148"/>
      <c r="D31" s="148"/>
      <c r="E31" s="148"/>
      <c r="F31" s="148"/>
      <c r="G31" s="379"/>
      <c r="H31" s="887"/>
    </row>
    <row r="32" spans="1:8" ht="44.25" hidden="1" customHeight="1" thickBot="1">
      <c r="A32" s="4"/>
      <c r="B32" s="390" t="s">
        <v>48</v>
      </c>
      <c r="C32" s="150"/>
      <c r="D32" s="150"/>
      <c r="E32" s="150"/>
      <c r="F32" s="150"/>
      <c r="G32" s="386"/>
      <c r="H32" s="888"/>
    </row>
    <row r="33" spans="1:8" ht="16.5" customHeight="1" thickBot="1">
      <c r="A33" s="4"/>
      <c r="B33" s="391"/>
      <c r="C33" s="36"/>
      <c r="D33" s="36"/>
      <c r="E33" s="36"/>
      <c r="F33" s="36"/>
      <c r="G33" s="392"/>
      <c r="H33" s="369"/>
    </row>
    <row r="34" spans="1:8" ht="88.5" customHeight="1" thickBot="1">
      <c r="A34" s="4"/>
      <c r="B34" s="393" t="s">
        <v>49</v>
      </c>
      <c r="C34" s="883" t="s">
        <v>729</v>
      </c>
      <c r="D34" s="884"/>
      <c r="E34" s="884"/>
      <c r="F34" s="884"/>
      <c r="G34" s="885"/>
      <c r="H34" s="239"/>
    </row>
    <row r="35" spans="1:8" ht="15.75" customHeight="1" thickTop="1" thickBot="1">
      <c r="A35" s="4"/>
      <c r="B35" s="241"/>
      <c r="C35" s="70"/>
      <c r="D35" s="70"/>
      <c r="E35" s="70"/>
      <c r="F35" s="70"/>
      <c r="G35" s="242"/>
      <c r="H35" s="338"/>
    </row>
    <row r="36" spans="1:8" ht="53.25" customHeight="1" thickTop="1" thickBot="1">
      <c r="A36" s="4"/>
      <c r="B36" s="865" t="s">
        <v>50</v>
      </c>
      <c r="C36" s="866"/>
      <c r="D36" s="866"/>
      <c r="E36" s="866"/>
      <c r="F36" s="866"/>
      <c r="G36" s="867"/>
      <c r="H36" s="261" t="s">
        <v>279</v>
      </c>
    </row>
    <row r="37" spans="1:8" ht="35.25" customHeight="1" thickBot="1">
      <c r="A37" s="186">
        <v>3000</v>
      </c>
      <c r="B37" s="368" t="s">
        <v>1</v>
      </c>
      <c r="C37" s="146">
        <f>LEN(C38)</f>
        <v>47</v>
      </c>
      <c r="D37" s="739" t="str">
        <f>IF(C37&gt;A37,CONCATENATE("Karaktertúllépés! Kérjük, válaszát maximum ",A37," karakterben foglalja össze!"),CONCATENATE("Még beírható karakterek száma:   ",A37-C37))</f>
        <v>Még beírható karakterek száma:   2953</v>
      </c>
      <c r="E37" s="799"/>
      <c r="F37" s="799"/>
      <c r="G37" s="864"/>
      <c r="H37" s="262"/>
    </row>
    <row r="38" spans="1:8" ht="270.75" customHeight="1">
      <c r="A38" s="4"/>
      <c r="B38" s="889" t="s">
        <v>220</v>
      </c>
      <c r="C38" s="891" t="s">
        <v>634</v>
      </c>
      <c r="D38" s="892"/>
      <c r="E38" s="892"/>
      <c r="F38" s="892"/>
      <c r="G38" s="893"/>
      <c r="H38" s="790" t="s">
        <v>383</v>
      </c>
    </row>
    <row r="39" spans="1:8" ht="315" customHeight="1" thickBot="1">
      <c r="A39" s="4"/>
      <c r="B39" s="890"/>
      <c r="C39" s="894"/>
      <c r="D39" s="895"/>
      <c r="E39" s="895"/>
      <c r="F39" s="895"/>
      <c r="G39" s="896"/>
      <c r="H39" s="792"/>
    </row>
    <row r="40" spans="1:8" ht="11.25" customHeight="1" thickTop="1" thickBot="1">
      <c r="A40" s="4"/>
      <c r="B40" s="241"/>
      <c r="C40" s="70"/>
      <c r="D40" s="70"/>
      <c r="E40" s="70"/>
      <c r="F40" s="70"/>
      <c r="G40" s="242"/>
      <c r="H40" s="93"/>
    </row>
    <row r="41" spans="1:8" ht="35.25" customHeight="1" thickTop="1" thickBot="1">
      <c r="A41" s="186">
        <v>3000</v>
      </c>
      <c r="B41" s="366" t="s">
        <v>1</v>
      </c>
      <c r="C41" s="367">
        <f>LEN(C42)</f>
        <v>1064</v>
      </c>
      <c r="D41" s="861" t="str">
        <f>IF(C41&gt;A41,CONCATENATE("Karaktertúllépés! Kérjük, válaszát maximum ",A41," karakterben foglalja össze!"),CONCATENATE("Még beírható karakterek száma:   ",A41-C41))</f>
        <v>Még beírható karakterek száma:   1936</v>
      </c>
      <c r="E41" s="862"/>
      <c r="F41" s="862"/>
      <c r="G41" s="863"/>
      <c r="H41" s="262"/>
    </row>
    <row r="42" spans="1:8" ht="243.75" customHeight="1">
      <c r="A42" s="4"/>
      <c r="B42" s="889" t="s">
        <v>64</v>
      </c>
      <c r="C42" s="891" t="s">
        <v>757</v>
      </c>
      <c r="D42" s="892"/>
      <c r="E42" s="892"/>
      <c r="F42" s="892"/>
      <c r="G42" s="893"/>
      <c r="H42" s="93"/>
    </row>
    <row r="43" spans="1:8" ht="360" customHeight="1" thickBot="1">
      <c r="A43" s="4"/>
      <c r="B43" s="890"/>
      <c r="C43" s="894"/>
      <c r="D43" s="895"/>
      <c r="E43" s="895"/>
      <c r="F43" s="895"/>
      <c r="G43" s="896"/>
      <c r="H43" s="93"/>
    </row>
    <row r="44" spans="1:8" ht="17.25" thickTop="1" thickBot="1">
      <c r="A44" s="4"/>
      <c r="B44" s="241"/>
      <c r="C44" s="70"/>
      <c r="D44" s="70"/>
      <c r="E44" s="70"/>
      <c r="F44" s="70"/>
      <c r="G44" s="242"/>
      <c r="H44" s="93"/>
    </row>
    <row r="45" spans="1:8" ht="30" customHeight="1">
      <c r="A45" s="4"/>
      <c r="B45" s="265" t="s">
        <v>51</v>
      </c>
      <c r="C45" s="266"/>
      <c r="D45" s="266"/>
      <c r="E45" s="266"/>
      <c r="F45" s="266"/>
      <c r="G45" s="267"/>
      <c r="H45" s="94"/>
    </row>
    <row r="46" spans="1:8" ht="16.5" thickBot="1">
      <c r="A46" s="4"/>
      <c r="B46" s="268" t="s">
        <v>222</v>
      </c>
      <c r="C46" s="243"/>
      <c r="D46" s="243"/>
      <c r="E46" s="243"/>
      <c r="F46" s="243"/>
      <c r="G46" s="244"/>
      <c r="H46" s="94"/>
    </row>
    <row r="47" spans="1:8" ht="35.25" customHeight="1" thickBot="1">
      <c r="A47" s="186">
        <v>1000</v>
      </c>
      <c r="B47" s="108" t="s">
        <v>1</v>
      </c>
      <c r="C47" s="146">
        <f>LEN(C48)</f>
        <v>251</v>
      </c>
      <c r="D47" s="739" t="str">
        <f>IF(C47&gt;A47,CONCATENATE("Karaktertúllépés! Kérjük, válaszát maximum ",A47," karakterben foglalja össze!"),CONCATENATE("Még beírható karakterek száma:   ",A47-C47))</f>
        <v>Még beírható karakterek száma:   749</v>
      </c>
      <c r="E47" s="799"/>
      <c r="F47" s="799"/>
      <c r="G47" s="740"/>
      <c r="H47" s="261"/>
    </row>
    <row r="48" spans="1:8" ht="201.75" customHeight="1" thickBot="1">
      <c r="A48" s="4"/>
      <c r="B48" s="165" t="s">
        <v>278</v>
      </c>
      <c r="C48" s="842" t="s">
        <v>676</v>
      </c>
      <c r="D48" s="843"/>
      <c r="E48" s="843"/>
      <c r="F48" s="843"/>
      <c r="G48" s="844"/>
      <c r="H48" s="263" t="s">
        <v>280</v>
      </c>
    </row>
    <row r="49" spans="1:8" ht="21.75" customHeight="1" thickBot="1">
      <c r="A49" s="4"/>
      <c r="B49" s="241"/>
      <c r="C49" s="70"/>
      <c r="D49" s="70"/>
      <c r="E49" s="70"/>
      <c r="F49" s="70"/>
      <c r="G49" s="242"/>
      <c r="H49" s="93"/>
    </row>
    <row r="50" spans="1:8" ht="23.25" customHeight="1" thickTop="1">
      <c r="A50" s="4"/>
      <c r="B50" s="354" t="s">
        <v>52</v>
      </c>
      <c r="C50" s="355"/>
      <c r="D50" s="355"/>
      <c r="E50" s="355"/>
      <c r="F50" s="355"/>
      <c r="G50" s="356"/>
      <c r="H50" s="96"/>
    </row>
    <row r="51" spans="1:8" ht="22.5" customHeight="1" thickBot="1">
      <c r="A51" s="4"/>
      <c r="B51" s="357" t="s">
        <v>53</v>
      </c>
      <c r="C51" s="173"/>
      <c r="D51" s="173"/>
      <c r="E51" s="173"/>
      <c r="F51" s="173"/>
      <c r="G51" s="358"/>
      <c r="H51" s="94"/>
    </row>
    <row r="52" spans="1:8" ht="87" customHeight="1" thickBot="1">
      <c r="A52" s="4"/>
      <c r="B52" s="359" t="s">
        <v>54</v>
      </c>
      <c r="C52" s="166" t="s">
        <v>14</v>
      </c>
      <c r="D52" s="166" t="s">
        <v>55</v>
      </c>
      <c r="E52" s="334" t="s">
        <v>281</v>
      </c>
      <c r="F52" s="334" t="s">
        <v>284</v>
      </c>
      <c r="G52" s="360" t="s">
        <v>282</v>
      </c>
      <c r="H52" s="839" t="s">
        <v>408</v>
      </c>
    </row>
    <row r="53" spans="1:8" ht="36" customHeight="1" thickBot="1">
      <c r="A53" s="4"/>
      <c r="B53" s="361" t="s">
        <v>56</v>
      </c>
      <c r="C53" s="225" t="s">
        <v>621</v>
      </c>
      <c r="D53" s="225" t="s">
        <v>635</v>
      </c>
      <c r="E53" s="225" t="s">
        <v>742</v>
      </c>
      <c r="F53" s="225" t="s">
        <v>636</v>
      </c>
      <c r="G53" s="362">
        <v>180500</v>
      </c>
      <c r="H53" s="839"/>
    </row>
    <row r="54" spans="1:8" ht="36" customHeight="1" thickBot="1">
      <c r="A54" s="4"/>
      <c r="B54" s="361" t="s">
        <v>57</v>
      </c>
      <c r="C54" s="225"/>
      <c r="D54" s="225"/>
      <c r="E54" s="225"/>
      <c r="F54" s="225"/>
      <c r="G54" s="362"/>
      <c r="H54" s="839"/>
    </row>
    <row r="55" spans="1:8" ht="36" customHeight="1" thickBot="1">
      <c r="A55" s="4"/>
      <c r="B55" s="361"/>
      <c r="C55" s="226"/>
      <c r="D55" s="226"/>
      <c r="E55" s="225"/>
      <c r="F55" s="225"/>
      <c r="G55" s="362"/>
      <c r="H55" s="839"/>
    </row>
    <row r="56" spans="1:8" ht="36" customHeight="1" thickBot="1">
      <c r="A56" s="4"/>
      <c r="B56" s="361"/>
      <c r="C56" s="226"/>
      <c r="D56" s="226"/>
      <c r="E56" s="225"/>
      <c r="F56" s="225"/>
      <c r="G56" s="362"/>
      <c r="H56" s="839"/>
    </row>
    <row r="57" spans="1:8" ht="36" customHeight="1" thickBot="1">
      <c r="A57" s="4"/>
      <c r="B57" s="361"/>
      <c r="C57" s="225"/>
      <c r="D57" s="225"/>
      <c r="E57" s="225"/>
      <c r="F57" s="225"/>
      <c r="G57" s="362"/>
      <c r="H57" s="839"/>
    </row>
    <row r="58" spans="1:8" ht="36" customHeight="1" thickBot="1">
      <c r="A58" s="4"/>
      <c r="B58" s="363"/>
      <c r="C58" s="364"/>
      <c r="D58" s="364"/>
      <c r="E58" s="364"/>
      <c r="F58" s="364"/>
      <c r="G58" s="365"/>
      <c r="H58" s="839"/>
    </row>
    <row r="59" spans="1:8" ht="9" customHeight="1" thickTop="1" thickBot="1">
      <c r="A59" s="4"/>
      <c r="B59" s="247"/>
      <c r="C59" s="74"/>
      <c r="D59" s="74"/>
      <c r="E59" s="74"/>
      <c r="F59" s="74"/>
      <c r="G59" s="264"/>
      <c r="H59" s="93"/>
    </row>
    <row r="60" spans="1:8" ht="30.75" customHeight="1" thickTop="1" thickBot="1">
      <c r="A60" s="4"/>
      <c r="B60" s="343" t="s">
        <v>58</v>
      </c>
      <c r="C60" s="344"/>
      <c r="D60" s="344"/>
      <c r="E60" s="355"/>
      <c r="F60" s="355"/>
      <c r="G60" s="356"/>
      <c r="H60" s="839" t="s">
        <v>283</v>
      </c>
    </row>
    <row r="61" spans="1:8" ht="30" customHeight="1" thickBot="1">
      <c r="A61" s="4"/>
      <c r="B61" s="345"/>
      <c r="C61" s="269">
        <v>2018</v>
      </c>
      <c r="D61" s="270">
        <v>2019</v>
      </c>
      <c r="E61" s="58">
        <v>2020</v>
      </c>
      <c r="F61" s="878">
        <v>2021</v>
      </c>
      <c r="G61" s="878"/>
      <c r="H61" s="839"/>
    </row>
    <row r="62" spans="1:8" ht="36.75" customHeight="1" thickBot="1">
      <c r="A62" s="4"/>
      <c r="B62" s="346" t="s">
        <v>59</v>
      </c>
      <c r="C62" s="226">
        <v>1</v>
      </c>
      <c r="D62" s="548">
        <v>1</v>
      </c>
      <c r="E62" s="549">
        <v>1</v>
      </c>
      <c r="F62" s="879">
        <v>1</v>
      </c>
      <c r="G62" s="879"/>
      <c r="H62" s="839"/>
    </row>
    <row r="63" spans="1:8" ht="36.75" customHeight="1" thickBot="1">
      <c r="A63" s="4"/>
      <c r="B63" s="347"/>
      <c r="C63" s="74"/>
      <c r="D63" s="74"/>
      <c r="E63" s="110"/>
      <c r="F63" s="110"/>
      <c r="G63" s="348"/>
      <c r="H63" s="839"/>
    </row>
    <row r="64" spans="1:8" ht="24" thickBot="1">
      <c r="A64" s="4"/>
      <c r="B64" s="349" t="s">
        <v>260</v>
      </c>
      <c r="C64" s="271"/>
      <c r="D64" s="271"/>
      <c r="E64" s="271"/>
      <c r="F64" s="271"/>
      <c r="G64" s="350"/>
      <c r="H64" s="94"/>
    </row>
    <row r="65" spans="1:8" ht="24.75" customHeight="1" thickBot="1">
      <c r="A65" s="4"/>
      <c r="B65" s="351"/>
      <c r="C65" s="332" t="s">
        <v>325</v>
      </c>
      <c r="D65" s="335" t="s">
        <v>327</v>
      </c>
      <c r="E65" s="870" t="s">
        <v>326</v>
      </c>
      <c r="F65" s="870"/>
      <c r="G65" s="871"/>
      <c r="H65" s="839" t="s">
        <v>384</v>
      </c>
    </row>
    <row r="66" spans="1:8" ht="18" customHeight="1">
      <c r="A66" s="4"/>
      <c r="B66" s="868" t="s">
        <v>259</v>
      </c>
      <c r="C66" s="339" t="s">
        <v>328</v>
      </c>
      <c r="D66" s="340">
        <v>5000</v>
      </c>
      <c r="E66" s="872"/>
      <c r="F66" s="872"/>
      <c r="G66" s="873"/>
      <c r="H66" s="839"/>
    </row>
    <row r="67" spans="1:8" ht="18" customHeight="1">
      <c r="A67" s="4"/>
      <c r="B67" s="868"/>
      <c r="C67" s="341" t="s">
        <v>329</v>
      </c>
      <c r="D67" s="342">
        <v>15000</v>
      </c>
      <c r="E67" s="874"/>
      <c r="F67" s="874"/>
      <c r="G67" s="875"/>
      <c r="H67" s="839"/>
    </row>
    <row r="68" spans="1:8" ht="18" customHeight="1">
      <c r="A68" s="4"/>
      <c r="B68" s="868"/>
      <c r="C68" s="341" t="s">
        <v>330</v>
      </c>
      <c r="D68" s="342">
        <v>15000</v>
      </c>
      <c r="E68" s="874"/>
      <c r="F68" s="874"/>
      <c r="G68" s="875"/>
      <c r="H68" s="839"/>
    </row>
    <row r="69" spans="1:8" ht="18" customHeight="1">
      <c r="A69" s="4"/>
      <c r="B69" s="868"/>
      <c r="C69" s="341" t="s">
        <v>743</v>
      </c>
      <c r="D69" s="342">
        <v>10000</v>
      </c>
      <c r="E69" s="874"/>
      <c r="F69" s="874"/>
      <c r="G69" s="875"/>
      <c r="H69" s="839"/>
    </row>
    <row r="70" spans="1:8" ht="18" customHeight="1">
      <c r="A70" s="4"/>
      <c r="B70" s="868"/>
      <c r="C70" s="341" t="s">
        <v>677</v>
      </c>
      <c r="D70" s="342">
        <v>50000</v>
      </c>
      <c r="E70" s="874"/>
      <c r="F70" s="874"/>
      <c r="G70" s="875"/>
      <c r="H70" s="839"/>
    </row>
    <row r="71" spans="1:8" ht="18" customHeight="1">
      <c r="A71" s="4"/>
      <c r="B71" s="868"/>
      <c r="C71" s="341" t="s">
        <v>678</v>
      </c>
      <c r="D71" s="342">
        <v>10000</v>
      </c>
      <c r="E71" s="874"/>
      <c r="F71" s="874"/>
      <c r="G71" s="875"/>
      <c r="H71" s="839"/>
    </row>
    <row r="72" spans="1:8" ht="18" customHeight="1">
      <c r="A72" s="4"/>
      <c r="B72" s="868"/>
      <c r="C72" s="341" t="s">
        <v>679</v>
      </c>
      <c r="D72" s="342">
        <v>5000</v>
      </c>
      <c r="E72" s="874"/>
      <c r="F72" s="874"/>
      <c r="G72" s="875"/>
      <c r="H72" s="839"/>
    </row>
    <row r="73" spans="1:8" ht="18" customHeight="1">
      <c r="A73" s="4"/>
      <c r="B73" s="868"/>
      <c r="C73" s="341" t="s">
        <v>304</v>
      </c>
      <c r="D73" s="342">
        <v>8000</v>
      </c>
      <c r="E73" s="874"/>
      <c r="F73" s="874"/>
      <c r="G73" s="875"/>
      <c r="H73" s="839"/>
    </row>
    <row r="74" spans="1:8" ht="18" customHeight="1">
      <c r="A74" s="4"/>
      <c r="B74" s="868"/>
      <c r="C74" s="341" t="s">
        <v>738</v>
      </c>
      <c r="D74" s="342">
        <v>20000</v>
      </c>
      <c r="E74" s="874"/>
      <c r="F74" s="874"/>
      <c r="G74" s="875"/>
      <c r="H74" s="839"/>
    </row>
    <row r="75" spans="1:8" ht="18" customHeight="1">
      <c r="A75" s="4"/>
      <c r="B75" s="868"/>
      <c r="C75" s="341" t="s">
        <v>744</v>
      </c>
      <c r="D75" s="342">
        <v>5000</v>
      </c>
      <c r="E75" s="874"/>
      <c r="F75" s="874"/>
      <c r="G75" s="875"/>
      <c r="H75" s="839"/>
    </row>
    <row r="76" spans="1:8" ht="18" customHeight="1">
      <c r="A76" s="4"/>
      <c r="B76" s="868"/>
      <c r="C76" s="714" t="s">
        <v>760</v>
      </c>
      <c r="D76" s="715">
        <v>50000</v>
      </c>
      <c r="E76" s="874"/>
      <c r="F76" s="874"/>
      <c r="G76" s="875"/>
      <c r="H76" s="839"/>
    </row>
    <row r="77" spans="1:8" ht="18" customHeight="1">
      <c r="A77" s="4"/>
      <c r="B77" s="868"/>
      <c r="C77" s="341" t="s">
        <v>762</v>
      </c>
      <c r="D77" s="342">
        <v>6000</v>
      </c>
      <c r="E77" s="874"/>
      <c r="F77" s="874"/>
      <c r="G77" s="875"/>
      <c r="H77" s="839"/>
    </row>
    <row r="78" spans="1:8" ht="18" customHeight="1">
      <c r="A78" s="4"/>
      <c r="B78" s="868"/>
      <c r="C78" s="341"/>
      <c r="D78" s="342"/>
      <c r="E78" s="874"/>
      <c r="F78" s="874"/>
      <c r="G78" s="875"/>
      <c r="H78" s="839"/>
    </row>
    <row r="79" spans="1:8" ht="18" customHeight="1" thickBot="1">
      <c r="A79" s="4"/>
      <c r="B79" s="869"/>
      <c r="C79" s="352" t="s">
        <v>309</v>
      </c>
      <c r="D79" s="353">
        <f>SUM(D66:D78)</f>
        <v>199000</v>
      </c>
      <c r="E79" s="876"/>
      <c r="F79" s="876"/>
      <c r="G79" s="877"/>
      <c r="H79" s="839"/>
    </row>
    <row r="80" spans="1:8" ht="15.75" thickTop="1"/>
  </sheetData>
  <sheetProtection formatCells="0" formatRows="0"/>
  <mergeCells count="21">
    <mergeCell ref="B1:G1"/>
    <mergeCell ref="C34:G34"/>
    <mergeCell ref="H3:H32"/>
    <mergeCell ref="H38:H39"/>
    <mergeCell ref="H52:H58"/>
    <mergeCell ref="B38:B39"/>
    <mergeCell ref="C38:G39"/>
    <mergeCell ref="C42:G43"/>
    <mergeCell ref="C48:G48"/>
    <mergeCell ref="B42:B43"/>
    <mergeCell ref="H65:H79"/>
    <mergeCell ref="D47:G47"/>
    <mergeCell ref="D41:G41"/>
    <mergeCell ref="D37:G37"/>
    <mergeCell ref="B36:G36"/>
    <mergeCell ref="H60:H63"/>
    <mergeCell ref="B66:B79"/>
    <mergeCell ref="E65:G65"/>
    <mergeCell ref="E66:G79"/>
    <mergeCell ref="F61:G61"/>
    <mergeCell ref="F62:G62"/>
  </mergeCells>
  <conditionalFormatting sqref="D47">
    <cfRule type="expression" dxfId="75" priority="3">
      <formula>C47&gt;A47</formula>
    </cfRule>
  </conditionalFormatting>
  <conditionalFormatting sqref="D41">
    <cfRule type="expression" dxfId="74" priority="2">
      <formula>C41&gt;A41</formula>
    </cfRule>
  </conditionalFormatting>
  <conditionalFormatting sqref="D37">
    <cfRule type="expression" dxfId="73" priority="1">
      <formula>C37&gt;A37</formula>
    </cfRule>
  </conditionalFormatting>
  <printOptions horizontalCentered="1"/>
  <pageMargins left="0.23622047244094491" right="0.23622047244094491" top="0.74803149606299213" bottom="0.74803149606299213" header="0.31496062992125984" footer="0.31496062992125984"/>
  <pageSetup paperSize="9" scale="50" orientation="landscape"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0" max="16383" man="1"/>
    <brk id="5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9"/>
  <sheetViews>
    <sheetView view="pageBreakPreview" zoomScale="60" zoomScaleNormal="70" workbookViewId="0">
      <selection activeCell="B8" sqref="B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3" t="s">
        <v>247</v>
      </c>
      <c r="C1" s="904"/>
      <c r="D1" s="904"/>
      <c r="E1" s="904"/>
      <c r="F1" s="904"/>
      <c r="G1" s="904"/>
      <c r="H1" s="904"/>
      <c r="I1" s="904"/>
      <c r="J1" s="904"/>
      <c r="K1" s="904"/>
      <c r="L1" s="904"/>
      <c r="M1" s="904"/>
      <c r="N1" s="905"/>
      <c r="O1" s="130" t="s">
        <v>207</v>
      </c>
    </row>
    <row r="2" spans="1:15" ht="9" customHeight="1" thickBot="1">
      <c r="A2" s="5"/>
      <c r="B2" s="899"/>
      <c r="C2" s="900"/>
      <c r="D2" s="900"/>
      <c r="E2" s="900"/>
      <c r="F2" s="900"/>
      <c r="G2" s="900"/>
      <c r="H2" s="900"/>
      <c r="I2" s="900"/>
      <c r="J2" s="901"/>
      <c r="K2" s="900"/>
      <c r="L2" s="900"/>
      <c r="M2" s="900"/>
      <c r="N2" s="902"/>
      <c r="O2" s="394"/>
    </row>
    <row r="3" spans="1:15" ht="28.5" customHeight="1" thickBot="1">
      <c r="A3" s="5"/>
      <c r="B3" s="897" t="s">
        <v>65</v>
      </c>
      <c r="C3" s="870"/>
      <c r="D3" s="870"/>
      <c r="E3" s="870"/>
      <c r="F3" s="870"/>
      <c r="G3" s="870"/>
      <c r="H3" s="870"/>
      <c r="I3" s="870"/>
      <c r="J3" s="898"/>
      <c r="K3" s="870"/>
      <c r="L3" s="870"/>
      <c r="M3" s="870"/>
      <c r="N3" s="871"/>
      <c r="O3" s="129" t="s">
        <v>287</v>
      </c>
    </row>
    <row r="4" spans="1:15" ht="30" customHeight="1" thickBot="1">
      <c r="A4" s="5"/>
      <c r="B4" s="395" t="s">
        <v>66</v>
      </c>
      <c r="C4" s="60">
        <v>1</v>
      </c>
      <c r="D4" s="60">
        <v>2</v>
      </c>
      <c r="E4" s="61">
        <v>3</v>
      </c>
      <c r="F4" s="59">
        <v>4</v>
      </c>
      <c r="G4" s="32">
        <v>5</v>
      </c>
      <c r="H4" s="32">
        <v>6</v>
      </c>
      <c r="I4" s="33">
        <v>7</v>
      </c>
      <c r="J4" s="33">
        <v>8</v>
      </c>
      <c r="K4" s="33">
        <v>9</v>
      </c>
      <c r="L4" s="33">
        <v>10</v>
      </c>
      <c r="M4" s="32">
        <v>11</v>
      </c>
      <c r="N4" s="396">
        <v>12</v>
      </c>
      <c r="O4" s="790" t="s">
        <v>409</v>
      </c>
    </row>
    <row r="5" spans="1:15" ht="27" customHeight="1" thickBot="1">
      <c r="A5" s="5"/>
      <c r="B5" s="397" t="s">
        <v>332</v>
      </c>
      <c r="C5" s="164" t="s">
        <v>185</v>
      </c>
      <c r="D5" s="164" t="s">
        <v>187</v>
      </c>
      <c r="E5" s="164">
        <v>1</v>
      </c>
      <c r="F5" s="164">
        <v>2</v>
      </c>
      <c r="G5" s="164">
        <v>3</v>
      </c>
      <c r="H5" s="164">
        <v>4</v>
      </c>
      <c r="I5" s="164">
        <v>5</v>
      </c>
      <c r="J5" s="164">
        <v>6</v>
      </c>
      <c r="K5" s="164">
        <v>7</v>
      </c>
      <c r="L5" s="164">
        <v>8</v>
      </c>
      <c r="M5" s="164">
        <v>9</v>
      </c>
      <c r="N5" s="164">
        <v>10</v>
      </c>
      <c r="O5" s="791"/>
    </row>
    <row r="6" spans="1:15" ht="33" customHeight="1">
      <c r="A6" s="5"/>
      <c r="B6" s="403" t="s">
        <v>637</v>
      </c>
      <c r="C6" s="404" t="s">
        <v>333</v>
      </c>
      <c r="D6" s="404"/>
      <c r="E6" s="404"/>
      <c r="F6" s="404"/>
      <c r="G6" s="404"/>
      <c r="H6" s="404"/>
      <c r="I6" s="404"/>
      <c r="J6" s="404"/>
      <c r="K6" s="404"/>
      <c r="L6" s="404"/>
      <c r="M6" s="404"/>
      <c r="N6" s="405"/>
      <c r="O6" s="791"/>
    </row>
    <row r="7" spans="1:15" ht="33" customHeight="1">
      <c r="A7" s="5"/>
      <c r="B7" s="398" t="s">
        <v>638</v>
      </c>
      <c r="C7" s="406" t="s">
        <v>333</v>
      </c>
      <c r="D7" s="406"/>
      <c r="E7" s="406"/>
      <c r="F7" s="406"/>
      <c r="G7" s="406"/>
      <c r="H7" s="406"/>
      <c r="I7" s="406"/>
      <c r="J7" s="406"/>
      <c r="K7" s="406"/>
      <c r="L7" s="406"/>
      <c r="M7" s="406"/>
      <c r="N7" s="407"/>
      <c r="O7" s="791"/>
    </row>
    <row r="8" spans="1:15" ht="33" customHeight="1">
      <c r="A8" s="5"/>
      <c r="B8" s="398" t="s">
        <v>639</v>
      </c>
      <c r="C8" s="406" t="s">
        <v>333</v>
      </c>
      <c r="D8" s="406"/>
      <c r="E8" s="406"/>
      <c r="F8" s="406"/>
      <c r="G8" s="406"/>
      <c r="H8" s="406"/>
      <c r="I8" s="406"/>
      <c r="J8" s="406"/>
      <c r="K8" s="406"/>
      <c r="L8" s="406"/>
      <c r="M8" s="406"/>
      <c r="N8" s="407"/>
      <c r="O8" s="791"/>
    </row>
    <row r="9" spans="1:15" ht="33" customHeight="1">
      <c r="A9" s="5"/>
      <c r="B9" s="399" t="s">
        <v>640</v>
      </c>
      <c r="C9" s="406" t="s">
        <v>333</v>
      </c>
      <c r="D9" s="406" t="s">
        <v>333</v>
      </c>
      <c r="E9" s="406" t="s">
        <v>333</v>
      </c>
      <c r="F9" s="406" t="s">
        <v>333</v>
      </c>
      <c r="G9" s="406" t="s">
        <v>333</v>
      </c>
      <c r="H9" s="406" t="s">
        <v>333</v>
      </c>
      <c r="I9" s="406" t="s">
        <v>333</v>
      </c>
      <c r="J9" s="406" t="s">
        <v>333</v>
      </c>
      <c r="K9" s="406" t="s">
        <v>333</v>
      </c>
      <c r="L9" s="406" t="s">
        <v>333</v>
      </c>
      <c r="M9" s="406" t="s">
        <v>333</v>
      </c>
      <c r="N9" s="407" t="s">
        <v>333</v>
      </c>
      <c r="O9" s="791"/>
    </row>
    <row r="10" spans="1:15" ht="33" customHeight="1">
      <c r="A10" s="5"/>
      <c r="B10" s="398" t="s">
        <v>641</v>
      </c>
      <c r="C10" s="406" t="s">
        <v>333</v>
      </c>
      <c r="D10" s="406" t="s">
        <v>333</v>
      </c>
      <c r="E10" s="406" t="s">
        <v>333</v>
      </c>
      <c r="F10" s="406" t="s">
        <v>333</v>
      </c>
      <c r="G10" s="406" t="s">
        <v>333</v>
      </c>
      <c r="H10" s="406" t="s">
        <v>333</v>
      </c>
      <c r="I10" s="406" t="s">
        <v>333</v>
      </c>
      <c r="J10" s="406" t="s">
        <v>333</v>
      </c>
      <c r="K10" s="406" t="s">
        <v>333</v>
      </c>
      <c r="L10" s="406" t="s">
        <v>333</v>
      </c>
      <c r="M10" s="406" t="s">
        <v>333</v>
      </c>
      <c r="N10" s="406" t="s">
        <v>333</v>
      </c>
      <c r="O10" s="791"/>
    </row>
    <row r="11" spans="1:15" ht="33" customHeight="1">
      <c r="A11" s="5"/>
      <c r="B11" s="398" t="s">
        <v>753</v>
      </c>
      <c r="C11" s="406"/>
      <c r="D11" s="406"/>
      <c r="E11" s="406"/>
      <c r="F11" s="406"/>
      <c r="G11" s="406"/>
      <c r="H11" s="406" t="s">
        <v>333</v>
      </c>
      <c r="I11" s="406"/>
      <c r="J11" s="406"/>
      <c r="K11" s="406"/>
      <c r="L11" s="406"/>
      <c r="M11" s="406"/>
      <c r="N11" s="406"/>
      <c r="O11" s="791"/>
    </row>
    <row r="12" spans="1:15" ht="33" customHeight="1">
      <c r="A12" s="5"/>
      <c r="B12" s="398" t="s">
        <v>744</v>
      </c>
      <c r="C12" s="406"/>
      <c r="D12" s="406"/>
      <c r="E12" s="406"/>
      <c r="F12" s="406" t="s">
        <v>333</v>
      </c>
      <c r="G12" s="406"/>
      <c r="H12" s="406"/>
      <c r="I12" s="406"/>
      <c r="J12" s="406"/>
      <c r="K12" s="406"/>
      <c r="L12" s="406"/>
      <c r="M12" s="406" t="s">
        <v>333</v>
      </c>
      <c r="N12" s="406"/>
      <c r="O12" s="791"/>
    </row>
    <row r="13" spans="1:15" ht="33" customHeight="1">
      <c r="A13" s="5"/>
      <c r="B13" s="398" t="s">
        <v>754</v>
      </c>
      <c r="C13" s="406" t="s">
        <v>333</v>
      </c>
      <c r="D13" s="406" t="s">
        <v>333</v>
      </c>
      <c r="E13" s="406" t="s">
        <v>333</v>
      </c>
      <c r="F13" s="406" t="s">
        <v>333</v>
      </c>
      <c r="G13" s="406" t="s">
        <v>333</v>
      </c>
      <c r="H13" s="406" t="s">
        <v>333</v>
      </c>
      <c r="I13" s="406" t="s">
        <v>333</v>
      </c>
      <c r="J13" s="406" t="s">
        <v>333</v>
      </c>
      <c r="K13" s="406" t="s">
        <v>333</v>
      </c>
      <c r="L13" s="406" t="s">
        <v>333</v>
      </c>
      <c r="M13" s="406" t="s">
        <v>333</v>
      </c>
      <c r="N13" s="406" t="s">
        <v>333</v>
      </c>
      <c r="O13" s="791"/>
    </row>
    <row r="14" spans="1:15" ht="33" customHeight="1">
      <c r="A14" s="5"/>
      <c r="B14" s="398" t="s">
        <v>642</v>
      </c>
      <c r="C14" s="406" t="s">
        <v>333</v>
      </c>
      <c r="D14" s="406" t="s">
        <v>333</v>
      </c>
      <c r="E14" s="406" t="s">
        <v>333</v>
      </c>
      <c r="F14" s="406" t="s">
        <v>333</v>
      </c>
      <c r="G14" s="406" t="s">
        <v>333</v>
      </c>
      <c r="H14" s="406" t="s">
        <v>333</v>
      </c>
      <c r="I14" s="406" t="s">
        <v>333</v>
      </c>
      <c r="J14" s="406" t="s">
        <v>333</v>
      </c>
      <c r="K14" s="406" t="s">
        <v>333</v>
      </c>
      <c r="L14" s="406" t="s">
        <v>333</v>
      </c>
      <c r="M14" s="406" t="s">
        <v>333</v>
      </c>
      <c r="N14" s="406" t="s">
        <v>333</v>
      </c>
      <c r="O14" s="791"/>
    </row>
    <row r="15" spans="1:15" ht="33" customHeight="1">
      <c r="A15" s="5"/>
      <c r="B15" s="398" t="s">
        <v>643</v>
      </c>
      <c r="C15" s="406"/>
      <c r="D15" s="406"/>
      <c r="E15" s="406" t="s">
        <v>333</v>
      </c>
      <c r="F15" s="406"/>
      <c r="G15" s="406"/>
      <c r="H15" s="406"/>
      <c r="I15" s="406"/>
      <c r="J15" s="406"/>
      <c r="K15" s="406"/>
      <c r="L15" s="406"/>
      <c r="M15" s="406"/>
      <c r="N15" s="407"/>
      <c r="O15" s="791"/>
    </row>
    <row r="16" spans="1:15" ht="33" customHeight="1">
      <c r="A16" s="5"/>
      <c r="B16" s="398" t="s">
        <v>752</v>
      </c>
      <c r="C16" s="406"/>
      <c r="D16" s="406"/>
      <c r="E16" s="406"/>
      <c r="F16" s="406"/>
      <c r="G16" s="406"/>
      <c r="H16" s="406"/>
      <c r="I16" s="406"/>
      <c r="J16" s="406"/>
      <c r="K16" s="406"/>
      <c r="L16" s="406"/>
      <c r="M16" s="406"/>
      <c r="N16" s="407" t="s">
        <v>333</v>
      </c>
      <c r="O16" s="791"/>
    </row>
    <row r="17" spans="1:15" ht="33" customHeight="1">
      <c r="A17" s="5"/>
      <c r="B17" s="717" t="s">
        <v>761</v>
      </c>
      <c r="C17" s="718"/>
      <c r="D17" s="718"/>
      <c r="E17" s="718"/>
      <c r="F17" s="718"/>
      <c r="G17" s="718"/>
      <c r="H17" s="718"/>
      <c r="I17" s="718"/>
      <c r="J17" s="718"/>
      <c r="K17" s="718"/>
      <c r="L17" s="718" t="s">
        <v>333</v>
      </c>
      <c r="M17" s="406"/>
      <c r="N17" s="407"/>
      <c r="O17" s="791"/>
    </row>
    <row r="18" spans="1:15" ht="33" customHeight="1">
      <c r="A18" s="5"/>
      <c r="B18" s="398" t="s">
        <v>68</v>
      </c>
      <c r="C18" s="406"/>
      <c r="D18" s="406"/>
      <c r="E18" s="406"/>
      <c r="F18" s="406"/>
      <c r="G18" s="406"/>
      <c r="H18" s="406"/>
      <c r="I18" s="406"/>
      <c r="J18" s="406"/>
      <c r="K18" s="406"/>
      <c r="L18" s="406"/>
      <c r="M18" s="406"/>
      <c r="N18" s="407"/>
      <c r="O18" s="791"/>
    </row>
    <row r="19" spans="1:15" ht="33" customHeight="1">
      <c r="A19" s="5"/>
      <c r="B19" s="398" t="s">
        <v>223</v>
      </c>
      <c r="C19" s="406"/>
      <c r="D19" s="406"/>
      <c r="E19" s="406"/>
      <c r="F19" s="406"/>
      <c r="G19" s="406"/>
      <c r="H19" s="406"/>
      <c r="I19" s="406"/>
      <c r="J19" s="406"/>
      <c r="K19" s="406"/>
      <c r="L19" s="406"/>
      <c r="M19" s="406"/>
      <c r="N19" s="407"/>
      <c r="O19" s="791"/>
    </row>
    <row r="20" spans="1:15" ht="33" customHeight="1" thickBot="1">
      <c r="A20" s="5"/>
      <c r="B20" s="400" t="s">
        <v>224</v>
      </c>
      <c r="C20" s="401"/>
      <c r="D20" s="401"/>
      <c r="E20" s="401"/>
      <c r="F20" s="401"/>
      <c r="G20" s="401"/>
      <c r="H20" s="401"/>
      <c r="I20" s="401"/>
      <c r="J20" s="401"/>
      <c r="K20" s="401"/>
      <c r="L20" s="401"/>
      <c r="M20" s="401"/>
      <c r="N20" s="402"/>
      <c r="O20" s="792"/>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view="pageBreakPreview" topLeftCell="A27" zoomScale="70" zoomScaleNormal="70" zoomScaleSheetLayoutView="70" workbookViewId="0">
      <selection activeCell="B4" sqref="B4:B9"/>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2" t="s">
        <v>248</v>
      </c>
      <c r="C1" s="1003"/>
      <c r="D1" s="1003"/>
      <c r="E1" s="1003"/>
      <c r="F1" s="1004"/>
      <c r="G1" s="130" t="s">
        <v>207</v>
      </c>
    </row>
    <row r="2" spans="1:7" ht="27.75" customHeight="1" thickBot="1">
      <c r="B2" s="272" t="s">
        <v>69</v>
      </c>
      <c r="C2" s="273"/>
      <c r="D2" s="271"/>
      <c r="E2" s="271"/>
      <c r="F2" s="274"/>
      <c r="G2" s="129" t="s">
        <v>290</v>
      </c>
    </row>
    <row r="3" spans="1:7" ht="258.75" customHeight="1" thickBot="1">
      <c r="B3" s="62" t="s">
        <v>70</v>
      </c>
      <c r="C3" s="1024" t="s">
        <v>680</v>
      </c>
      <c r="D3" s="1025"/>
      <c r="E3" s="1025"/>
      <c r="F3" s="1026"/>
      <c r="G3" s="969" t="s">
        <v>291</v>
      </c>
    </row>
    <row r="4" spans="1:7" ht="21.75" customHeight="1">
      <c r="A4" s="196" t="s">
        <v>333</v>
      </c>
      <c r="B4" s="910" t="s">
        <v>349</v>
      </c>
      <c r="C4" s="204" t="s">
        <v>333</v>
      </c>
      <c r="D4" s="938" t="s">
        <v>343</v>
      </c>
      <c r="E4" s="938"/>
      <c r="F4" s="939"/>
      <c r="G4" s="970"/>
    </row>
    <row r="5" spans="1:7" ht="21.75" customHeight="1">
      <c r="B5" s="1013"/>
      <c r="C5" s="205"/>
      <c r="D5" s="940" t="s">
        <v>344</v>
      </c>
      <c r="E5" s="940"/>
      <c r="F5" s="941"/>
      <c r="G5" s="970"/>
    </row>
    <row r="6" spans="1:7" ht="21.75" customHeight="1">
      <c r="B6" s="1013"/>
      <c r="C6" s="205"/>
      <c r="D6" s="940" t="s">
        <v>345</v>
      </c>
      <c r="E6" s="940"/>
      <c r="F6" s="941"/>
      <c r="G6" s="970"/>
    </row>
    <row r="7" spans="1:7" ht="21.75" customHeight="1">
      <c r="B7" s="1013"/>
      <c r="C7" s="205"/>
      <c r="D7" s="940" t="s">
        <v>346</v>
      </c>
      <c r="E7" s="940"/>
      <c r="F7" s="941"/>
      <c r="G7" s="970"/>
    </row>
    <row r="8" spans="1:7" ht="21.75" customHeight="1">
      <c r="B8" s="1013"/>
      <c r="C8" s="205" t="s">
        <v>333</v>
      </c>
      <c r="D8" s="940" t="s">
        <v>347</v>
      </c>
      <c r="E8" s="940"/>
      <c r="F8" s="941"/>
      <c r="G8" s="970"/>
    </row>
    <row r="9" spans="1:7" ht="22.5" customHeight="1" thickBot="1">
      <c r="B9" s="1014"/>
      <c r="C9" s="206"/>
      <c r="D9" s="942" t="s">
        <v>348</v>
      </c>
      <c r="E9" s="942"/>
      <c r="F9" s="943"/>
      <c r="G9" s="970"/>
    </row>
    <row r="10" spans="1:7" ht="69" customHeight="1">
      <c r="B10" s="18" t="s">
        <v>231</v>
      </c>
      <c r="C10" s="1015" t="s">
        <v>756</v>
      </c>
      <c r="D10" s="1016"/>
      <c r="E10" s="1016"/>
      <c r="F10" s="1017"/>
      <c r="G10" s="847"/>
    </row>
    <row r="11" spans="1:7" ht="65.25" customHeight="1" thickBot="1">
      <c r="B11" s="17" t="s">
        <v>71</v>
      </c>
      <c r="C11" s="1018"/>
      <c r="D11" s="1019"/>
      <c r="E11" s="1019"/>
      <c r="F11" s="1020"/>
      <c r="G11" s="847"/>
    </row>
    <row r="12" spans="1:7" ht="43.5" customHeight="1">
      <c r="B12" s="977" t="s">
        <v>72</v>
      </c>
      <c r="C12" s="1021" t="s">
        <v>681</v>
      </c>
      <c r="D12" s="1022"/>
      <c r="E12" s="1022"/>
      <c r="F12" s="1023"/>
      <c r="G12" s="847"/>
    </row>
    <row r="13" spans="1:7" ht="77.25" customHeight="1" thickBot="1">
      <c r="B13" s="978"/>
      <c r="C13" s="1018"/>
      <c r="D13" s="1019"/>
      <c r="E13" s="1019"/>
      <c r="F13" s="1020"/>
      <c r="G13" s="847"/>
    </row>
    <row r="14" spans="1:7" ht="133.5" customHeight="1" thickBot="1">
      <c r="B14" s="48" t="s">
        <v>225</v>
      </c>
      <c r="C14" s="797" t="s">
        <v>682</v>
      </c>
      <c r="D14" s="953"/>
      <c r="E14" s="953"/>
      <c r="F14" s="798"/>
      <c r="G14" s="847"/>
    </row>
    <row r="15" spans="1:7" ht="16.5" thickBot="1">
      <c r="B15" s="10"/>
      <c r="C15" s="10"/>
      <c r="G15" s="113"/>
    </row>
    <row r="16" spans="1:7" ht="26.25" customHeight="1" thickBot="1">
      <c r="B16" s="272" t="s">
        <v>73</v>
      </c>
      <c r="C16" s="273"/>
      <c r="D16" s="271"/>
      <c r="E16" s="271"/>
      <c r="F16" s="274"/>
      <c r="G16" s="114"/>
    </row>
    <row r="17" spans="1:7" ht="35.25" customHeight="1" thickBot="1">
      <c r="A17" s="195">
        <v>1000</v>
      </c>
      <c r="B17" s="46" t="s">
        <v>1</v>
      </c>
      <c r="C17" s="51">
        <f>LEN(C18)</f>
        <v>122</v>
      </c>
      <c r="D17" s="840" t="str">
        <f>IF(C17&gt;A17,CONCATENATE("Karaktertúllépés! Kérjük, válaszát maximum ",A17," karakterben foglalja össze!"),CONCATENATE("Még beírható karakterek száma:   ",A17-C17))</f>
        <v>Még beírható karakterek száma:   878</v>
      </c>
      <c r="E17" s="909"/>
      <c r="F17" s="841"/>
    </row>
    <row r="18" spans="1:7" ht="153" customHeight="1">
      <c r="B18" s="18" t="s">
        <v>353</v>
      </c>
      <c r="C18" s="954" t="s">
        <v>683</v>
      </c>
      <c r="D18" s="955"/>
      <c r="E18" s="955"/>
      <c r="F18" s="956"/>
      <c r="G18" s="964" t="s">
        <v>402</v>
      </c>
    </row>
    <row r="19" spans="1:7" ht="137.25" customHeight="1" thickBot="1">
      <c r="B19" s="17"/>
      <c r="C19" s="957"/>
      <c r="D19" s="958"/>
      <c r="E19" s="958"/>
      <c r="F19" s="959"/>
      <c r="G19" s="964"/>
    </row>
    <row r="20" spans="1:7" ht="98.25" customHeight="1" thickBot="1">
      <c r="B20" s="47" t="s">
        <v>74</v>
      </c>
      <c r="C20" s="944" t="s">
        <v>685</v>
      </c>
      <c r="D20" s="945"/>
      <c r="E20" s="945"/>
      <c r="F20" s="946"/>
      <c r="G20" s="964"/>
    </row>
    <row r="21" spans="1:7" ht="81" customHeight="1" thickBot="1">
      <c r="B21" s="53" t="s">
        <v>226</v>
      </c>
      <c r="C21" s="947" t="s">
        <v>684</v>
      </c>
      <c r="D21" s="948"/>
      <c r="E21" s="948"/>
      <c r="F21" s="949"/>
      <c r="G21" s="964"/>
    </row>
    <row r="22" spans="1:7" ht="21.75" customHeight="1">
      <c r="A22" s="196" t="s">
        <v>333</v>
      </c>
      <c r="B22" s="1005" t="s">
        <v>75</v>
      </c>
      <c r="C22" s="211"/>
      <c r="D22" s="950" t="s">
        <v>350</v>
      </c>
      <c r="E22" s="938"/>
      <c r="F22" s="939"/>
      <c r="G22" s="965"/>
    </row>
    <row r="23" spans="1:7" ht="21.75" customHeight="1">
      <c r="B23" s="964"/>
      <c r="C23" s="212"/>
      <c r="D23" s="951" t="s">
        <v>351</v>
      </c>
      <c r="E23" s="940"/>
      <c r="F23" s="941"/>
      <c r="G23" s="965"/>
    </row>
    <row r="24" spans="1:7" ht="21.75" customHeight="1" thickBot="1">
      <c r="B24" s="1006"/>
      <c r="C24" s="213" t="s">
        <v>333</v>
      </c>
      <c r="D24" s="952" t="s">
        <v>352</v>
      </c>
      <c r="E24" s="942"/>
      <c r="F24" s="943"/>
      <c r="G24" s="965"/>
    </row>
    <row r="25" spans="1:7" ht="30" customHeight="1">
      <c r="B25" s="1005" t="s">
        <v>76</v>
      </c>
      <c r="C25" s="891" t="s">
        <v>644</v>
      </c>
      <c r="D25" s="892"/>
      <c r="E25" s="892"/>
      <c r="F25" s="931"/>
      <c r="G25" s="964"/>
    </row>
    <row r="26" spans="1:7" ht="30" customHeight="1" thickBot="1">
      <c r="B26" s="1006"/>
      <c r="C26" s="932"/>
      <c r="D26" s="933"/>
      <c r="E26" s="933"/>
      <c r="F26" s="934"/>
      <c r="G26" s="964"/>
    </row>
    <row r="27" spans="1:7" ht="71.25" customHeight="1" thickBot="1">
      <c r="B27" s="54" t="s">
        <v>77</v>
      </c>
      <c r="C27" s="935" t="s">
        <v>644</v>
      </c>
      <c r="D27" s="936"/>
      <c r="E27" s="936"/>
      <c r="F27" s="937"/>
      <c r="G27" s="964"/>
    </row>
    <row r="28" spans="1:7" ht="51.75" customHeight="1" thickBot="1">
      <c r="B28" s="52" t="s">
        <v>78</v>
      </c>
      <c r="C28" s="935" t="s">
        <v>723</v>
      </c>
      <c r="D28" s="936"/>
      <c r="E28" s="936"/>
      <c r="F28" s="937"/>
      <c r="G28" s="964"/>
    </row>
    <row r="29" spans="1:7" ht="20.25" customHeight="1">
      <c r="A29" s="196" t="s">
        <v>333</v>
      </c>
      <c r="B29" s="1009" t="s">
        <v>394</v>
      </c>
      <c r="C29" s="204" t="s">
        <v>333</v>
      </c>
      <c r="D29" s="938" t="s">
        <v>334</v>
      </c>
      <c r="E29" s="938"/>
      <c r="F29" s="939"/>
    </row>
    <row r="30" spans="1:7" ht="20.25" customHeight="1">
      <c r="B30" s="964"/>
      <c r="C30" s="205" t="s">
        <v>333</v>
      </c>
      <c r="D30" s="940" t="s">
        <v>335</v>
      </c>
      <c r="E30" s="940"/>
      <c r="F30" s="941"/>
    </row>
    <row r="31" spans="1:7" ht="20.25" customHeight="1">
      <c r="B31" s="964"/>
      <c r="C31" s="205" t="s">
        <v>333</v>
      </c>
      <c r="D31" s="940" t="s">
        <v>336</v>
      </c>
      <c r="E31" s="940"/>
      <c r="F31" s="941"/>
    </row>
    <row r="32" spans="1:7" ht="20.25" customHeight="1" thickBot="1">
      <c r="B32" s="1010"/>
      <c r="C32" s="206" t="s">
        <v>333</v>
      </c>
      <c r="D32" s="942" t="s">
        <v>337</v>
      </c>
      <c r="E32" s="942"/>
      <c r="F32" s="943"/>
    </row>
    <row r="33" spans="1:6" ht="20.25" customHeight="1">
      <c r="A33" s="196" t="s">
        <v>333</v>
      </c>
      <c r="B33" s="1009" t="s">
        <v>395</v>
      </c>
      <c r="C33" s="204"/>
      <c r="D33" s="938" t="s">
        <v>338</v>
      </c>
      <c r="E33" s="938"/>
      <c r="F33" s="939"/>
    </row>
    <row r="34" spans="1:6" ht="20.25" customHeight="1">
      <c r="B34" s="964"/>
      <c r="C34" s="205"/>
      <c r="D34" s="940" t="s">
        <v>339</v>
      </c>
      <c r="E34" s="940"/>
      <c r="F34" s="941"/>
    </row>
    <row r="35" spans="1:6" ht="20.25" customHeight="1">
      <c r="B35" s="964"/>
      <c r="C35" s="205" t="s">
        <v>333</v>
      </c>
      <c r="D35" s="940" t="s">
        <v>340</v>
      </c>
      <c r="E35" s="940"/>
      <c r="F35" s="941"/>
    </row>
    <row r="36" spans="1:6" ht="20.25" customHeight="1">
      <c r="B36" s="964"/>
      <c r="C36" s="205" t="s">
        <v>333</v>
      </c>
      <c r="D36" s="940" t="s">
        <v>341</v>
      </c>
      <c r="E36" s="940"/>
      <c r="F36" s="941"/>
    </row>
    <row r="37" spans="1:6" ht="20.25" customHeight="1" thickBot="1">
      <c r="B37" s="1010"/>
      <c r="C37" s="206" t="s">
        <v>333</v>
      </c>
      <c r="D37" s="942" t="s">
        <v>342</v>
      </c>
      <c r="E37" s="942"/>
      <c r="F37" s="943"/>
    </row>
    <row r="38" spans="1:6" ht="27" customHeight="1" thickBot="1">
      <c r="A38" s="195">
        <v>500</v>
      </c>
      <c r="B38" s="46" t="s">
        <v>1</v>
      </c>
      <c r="C38" s="227">
        <f>LEN(C39)</f>
        <v>292</v>
      </c>
      <c r="D38" s="906" t="str">
        <f>IF(C38&gt;A38,CONCATENATE("Karaktertúllépés! Kérjük, válaszát maximum ",A38," karakterben foglalja össze!"),CONCATENATE("Még beírható karakterek száma:   ",A38-C38))</f>
        <v>Még beírható karakterek száma:   208</v>
      </c>
      <c r="E38" s="907"/>
      <c r="F38" s="908"/>
    </row>
    <row r="39" spans="1:6" ht="151.5" customHeight="1" thickBot="1">
      <c r="B39" s="50" t="s">
        <v>292</v>
      </c>
      <c r="C39" s="928" t="s">
        <v>686</v>
      </c>
      <c r="D39" s="929"/>
      <c r="E39" s="929"/>
      <c r="F39" s="930"/>
    </row>
    <row r="40" spans="1:6" ht="159.75" customHeight="1" thickBot="1">
      <c r="B40" s="50" t="s">
        <v>293</v>
      </c>
      <c r="C40" s="842" t="s">
        <v>687</v>
      </c>
      <c r="D40" s="843"/>
      <c r="E40" s="843"/>
      <c r="F40" s="844"/>
    </row>
    <row r="41" spans="1:6" ht="15.75" thickBot="1">
      <c r="B41" s="26"/>
      <c r="C41" s="26"/>
      <c r="D41" s="27"/>
      <c r="E41" s="28"/>
      <c r="F41" s="27"/>
    </row>
    <row r="42" spans="1:6" ht="34.5" customHeight="1" thickBot="1">
      <c r="A42" s="195">
        <v>250</v>
      </c>
      <c r="B42" s="46" t="s">
        <v>1</v>
      </c>
      <c r="C42" s="1011">
        <f>LEN(E43)</f>
        <v>214</v>
      </c>
      <c r="D42" s="1012"/>
      <c r="E42" s="840" t="str">
        <f>IF(C42&gt;A42,CONCATENATE("Karaktertúllépés! Kérjük, válaszát maximum ",A42," karakterben foglalja össze!"),CONCATENATE("Még beírható karakterek száma:   ",A42-C42))</f>
        <v>Még beírható karakterek száma:   36</v>
      </c>
      <c r="F42" s="841"/>
    </row>
    <row r="43" spans="1:6" ht="42" customHeight="1">
      <c r="A43" s="196" t="s">
        <v>333</v>
      </c>
      <c r="B43" s="979" t="s">
        <v>379</v>
      </c>
      <c r="C43" s="204"/>
      <c r="D43" s="201" t="s">
        <v>355</v>
      </c>
      <c r="E43" s="955" t="s">
        <v>724</v>
      </c>
      <c r="F43" s="956"/>
    </row>
    <row r="44" spans="1:6" ht="42" customHeight="1">
      <c r="B44" s="979"/>
      <c r="C44" s="205" t="s">
        <v>333</v>
      </c>
      <c r="D44" s="202" t="s">
        <v>359</v>
      </c>
      <c r="E44" s="1007"/>
      <c r="F44" s="1008"/>
    </row>
    <row r="45" spans="1:6" ht="42" customHeight="1">
      <c r="B45" s="979"/>
      <c r="C45" s="205"/>
      <c r="D45" s="202" t="s">
        <v>356</v>
      </c>
      <c r="E45" s="1007"/>
      <c r="F45" s="1008"/>
    </row>
    <row r="46" spans="1:6" ht="42" customHeight="1">
      <c r="B46" s="979"/>
      <c r="C46" s="205"/>
      <c r="D46" s="202" t="s">
        <v>358</v>
      </c>
      <c r="E46" s="1007"/>
      <c r="F46" s="1008"/>
    </row>
    <row r="47" spans="1:6" ht="42" customHeight="1" thickBot="1">
      <c r="B47" s="980"/>
      <c r="C47" s="206"/>
      <c r="D47" s="203" t="s">
        <v>357</v>
      </c>
      <c r="E47" s="958"/>
      <c r="F47" s="959"/>
    </row>
    <row r="48" spans="1:6" ht="16.5" thickBot="1">
      <c r="B48" s="10"/>
      <c r="C48" s="10"/>
    </row>
    <row r="49" spans="2:7" ht="25.5" customHeight="1">
      <c r="B49" s="279" t="s">
        <v>79</v>
      </c>
      <c r="C49" s="280"/>
      <c r="D49" s="266"/>
      <c r="E49" s="266"/>
      <c r="F49" s="281"/>
    </row>
    <row r="50" spans="2:7" ht="27" customHeight="1" thickBot="1">
      <c r="B50" s="981" t="s">
        <v>80</v>
      </c>
      <c r="C50" s="982"/>
      <c r="D50" s="982"/>
      <c r="E50" s="982"/>
      <c r="F50" s="983"/>
    </row>
    <row r="51" spans="2:7" ht="60.75" customHeight="1" thickBot="1">
      <c r="B51" s="21" t="s">
        <v>331</v>
      </c>
      <c r="C51" s="916" t="s">
        <v>82</v>
      </c>
      <c r="D51" s="917"/>
      <c r="E51" s="166" t="s">
        <v>83</v>
      </c>
      <c r="F51" s="176" t="s">
        <v>84</v>
      </c>
      <c r="G51" s="971" t="s">
        <v>403</v>
      </c>
    </row>
    <row r="52" spans="2:7" ht="60.75" customHeight="1" thickBot="1">
      <c r="B52" s="171" t="s">
        <v>688</v>
      </c>
      <c r="C52" s="957" t="s">
        <v>689</v>
      </c>
      <c r="D52" s="959"/>
      <c r="E52" s="153" t="s">
        <v>690</v>
      </c>
      <c r="F52" s="160" t="s">
        <v>691</v>
      </c>
      <c r="G52" s="972"/>
    </row>
    <row r="53" spans="2:7" ht="60.75" customHeight="1" thickBot="1">
      <c r="B53" s="159" t="s">
        <v>692</v>
      </c>
      <c r="C53" s="928" t="s">
        <v>693</v>
      </c>
      <c r="D53" s="930"/>
      <c r="E53" s="153" t="s">
        <v>694</v>
      </c>
      <c r="F53" s="160" t="s">
        <v>695</v>
      </c>
      <c r="G53" s="972"/>
    </row>
    <row r="54" spans="2:7" ht="60.75" customHeight="1" thickBot="1">
      <c r="B54" s="161" t="s">
        <v>696</v>
      </c>
      <c r="C54" s="928" t="s">
        <v>697</v>
      </c>
      <c r="D54" s="930"/>
      <c r="E54" s="162" t="s">
        <v>698</v>
      </c>
      <c r="F54" s="163" t="s">
        <v>699</v>
      </c>
      <c r="G54" s="973"/>
    </row>
    <row r="55" spans="2:7">
      <c r="B55" s="23"/>
      <c r="C55" s="23"/>
    </row>
    <row r="56" spans="2:7" ht="48" customHeight="1" thickBot="1">
      <c r="B56" s="1001" t="s">
        <v>429</v>
      </c>
      <c r="C56" s="1001"/>
      <c r="D56" s="1001"/>
      <c r="E56" s="1001"/>
      <c r="F56" s="1001"/>
    </row>
    <row r="57" spans="2:7" ht="23.25" customHeight="1" thickBot="1">
      <c r="B57" s="158" t="s">
        <v>85</v>
      </c>
      <c r="C57" s="916" t="s">
        <v>86</v>
      </c>
      <c r="D57" s="917"/>
      <c r="E57" s="169" t="s">
        <v>87</v>
      </c>
      <c r="F57" s="122" t="s">
        <v>89</v>
      </c>
    </row>
    <row r="58" spans="2:7" ht="31.5" customHeight="1">
      <c r="B58" s="30" t="s">
        <v>81</v>
      </c>
      <c r="C58" s="918" t="s">
        <v>88</v>
      </c>
      <c r="D58" s="919"/>
      <c r="E58" s="119" t="s">
        <v>88</v>
      </c>
      <c r="F58" s="120" t="s">
        <v>88</v>
      </c>
    </row>
    <row r="59" spans="2:7" ht="27" customHeight="1">
      <c r="B59" s="154"/>
      <c r="C59" s="920" t="s">
        <v>702</v>
      </c>
      <c r="D59" s="921"/>
      <c r="E59" s="155" t="s">
        <v>700</v>
      </c>
      <c r="F59" s="156" t="s">
        <v>701</v>
      </c>
    </row>
    <row r="60" spans="2:7" ht="27" customHeight="1" thickBot="1">
      <c r="B60" s="171" t="s">
        <v>688</v>
      </c>
      <c r="C60" s="922">
        <v>390</v>
      </c>
      <c r="D60" s="923"/>
      <c r="E60" s="550">
        <v>2450</v>
      </c>
      <c r="F60" s="551">
        <v>350</v>
      </c>
    </row>
    <row r="61" spans="2:7" ht="27" customHeight="1" thickBot="1">
      <c r="B61" s="159" t="s">
        <v>692</v>
      </c>
      <c r="C61" s="922">
        <v>390</v>
      </c>
      <c r="D61" s="923"/>
      <c r="E61" s="550">
        <v>2100</v>
      </c>
      <c r="F61" s="551">
        <v>350</v>
      </c>
    </row>
    <row r="62" spans="2:7" ht="27" customHeight="1" thickBot="1">
      <c r="B62" s="161" t="s">
        <v>696</v>
      </c>
      <c r="C62" s="924">
        <v>290</v>
      </c>
      <c r="D62" s="925"/>
      <c r="E62" s="552">
        <v>2030</v>
      </c>
      <c r="F62" s="553">
        <v>290</v>
      </c>
    </row>
    <row r="63" spans="2:7" ht="27" customHeight="1" thickBot="1">
      <c r="B63" s="175" t="s">
        <v>90</v>
      </c>
      <c r="C63" s="926">
        <v>350</v>
      </c>
      <c r="D63" s="927"/>
      <c r="E63" s="554">
        <v>2100</v>
      </c>
      <c r="F63" s="555">
        <v>300</v>
      </c>
    </row>
    <row r="64" spans="2:7" ht="11.25" customHeight="1" thickBot="1">
      <c r="B64" s="10"/>
      <c r="C64" s="10"/>
    </row>
    <row r="65" spans="1:7" ht="63.75" customHeight="1" thickBot="1">
      <c r="B65" s="22" t="s">
        <v>430</v>
      </c>
      <c r="C65" s="842" t="s">
        <v>732</v>
      </c>
      <c r="D65" s="843"/>
      <c r="E65" s="843"/>
      <c r="F65" s="844"/>
    </row>
    <row r="66" spans="1:7" ht="57" customHeight="1" thickBot="1">
      <c r="B66" s="121" t="s">
        <v>91</v>
      </c>
      <c r="C66" s="842" t="s">
        <v>703</v>
      </c>
      <c r="D66" s="843"/>
      <c r="E66" s="843"/>
      <c r="F66" s="844"/>
    </row>
    <row r="67" spans="1:7" ht="31.5" customHeight="1">
      <c r="B67" s="998" t="s">
        <v>92</v>
      </c>
      <c r="C67" s="910" t="s">
        <v>434</v>
      </c>
      <c r="D67" s="911"/>
      <c r="E67" s="960" t="s">
        <v>468</v>
      </c>
      <c r="F67" s="962" t="s">
        <v>645</v>
      </c>
    </row>
    <row r="68" spans="1:7" ht="15.75" thickBot="1">
      <c r="B68" s="999"/>
      <c r="C68" s="912"/>
      <c r="D68" s="913"/>
      <c r="E68" s="961"/>
      <c r="F68" s="963"/>
    </row>
    <row r="69" spans="1:7" ht="48.75" customHeight="1" thickBot="1">
      <c r="B69" s="1000"/>
      <c r="C69" s="914">
        <v>0.2</v>
      </c>
      <c r="D69" s="915"/>
      <c r="E69" s="157">
        <v>0.27</v>
      </c>
      <c r="F69" s="157">
        <v>0.38</v>
      </c>
    </row>
    <row r="70" spans="1:7" ht="16.5" thickBot="1">
      <c r="B70" s="10"/>
      <c r="C70" s="10"/>
    </row>
    <row r="71" spans="1:7" ht="25.5" customHeight="1">
      <c r="B71" s="282" t="s">
        <v>93</v>
      </c>
      <c r="C71" s="283"/>
      <c r="D71" s="125"/>
      <c r="E71" s="125"/>
      <c r="F71" s="126"/>
    </row>
    <row r="72" spans="1:7" ht="19.5" customHeight="1" thickBot="1">
      <c r="B72" s="974" t="s">
        <v>94</v>
      </c>
      <c r="C72" s="975"/>
      <c r="D72" s="975"/>
      <c r="E72" s="975"/>
      <c r="F72" s="976"/>
    </row>
    <row r="73" spans="1:7" ht="29.25" customHeight="1" thickBot="1">
      <c r="A73" s="195">
        <v>500</v>
      </c>
      <c r="B73" s="46" t="s">
        <v>1</v>
      </c>
      <c r="C73" s="146">
        <f>LEN(C74)</f>
        <v>311</v>
      </c>
      <c r="D73" s="840" t="str">
        <f>IF(C73&gt;A73,CONCATENATE("Karaktertúllépés! Kérjük, válaszát maximum ",A73," karakterben foglalja össze!"),CONCATENATE("Még beírható karakterek száma:   ",A73-C73))</f>
        <v>Még beírható karakterek száma:   189</v>
      </c>
      <c r="E73" s="909"/>
      <c r="F73" s="841"/>
      <c r="G73" s="966" t="s">
        <v>404</v>
      </c>
    </row>
    <row r="74" spans="1:7" ht="129" customHeight="1" thickBot="1">
      <c r="B74" s="22" t="s">
        <v>219</v>
      </c>
      <c r="C74" s="928" t="s">
        <v>704</v>
      </c>
      <c r="D74" s="929"/>
      <c r="E74" s="929"/>
      <c r="F74" s="930"/>
      <c r="G74" s="967"/>
    </row>
    <row r="75" spans="1:7" ht="57" customHeight="1" thickBot="1">
      <c r="B75" s="20" t="s">
        <v>95</v>
      </c>
      <c r="C75" s="842" t="s">
        <v>646</v>
      </c>
      <c r="D75" s="843"/>
      <c r="E75" s="843"/>
      <c r="F75" s="844"/>
      <c r="G75" s="968"/>
    </row>
    <row r="76" spans="1:7" ht="6" customHeight="1">
      <c r="B76" s="10"/>
      <c r="C76" s="10"/>
    </row>
    <row r="77" spans="1:7" ht="24" thickBot="1">
      <c r="B77" s="25" t="s">
        <v>96</v>
      </c>
      <c r="C77" s="25"/>
    </row>
    <row r="78" spans="1:7" ht="38.25" customHeight="1" thickBot="1">
      <c r="A78" s="195">
        <v>500</v>
      </c>
      <c r="B78" s="46" t="s">
        <v>1</v>
      </c>
      <c r="C78" s="146">
        <f>LEN(C79)</f>
        <v>116</v>
      </c>
      <c r="D78" s="840" t="str">
        <f>IF(C78&gt;A78,CONCATENATE("Karaktertúllépés! Kérjük, válaszát maximum ",A78," karakterben foglalja össze!"),CONCATENATE("Még beírható karakterek száma:   ",A78-C78))</f>
        <v>Még beírható karakterek száma:   384</v>
      </c>
      <c r="E78" s="909"/>
      <c r="F78" s="841"/>
      <c r="G78" s="966" t="s">
        <v>405</v>
      </c>
    </row>
    <row r="79" spans="1:7" ht="129.75" customHeight="1" thickBot="1">
      <c r="B79" s="31" t="s">
        <v>354</v>
      </c>
      <c r="C79" s="928" t="s">
        <v>705</v>
      </c>
      <c r="D79" s="929"/>
      <c r="E79" s="929"/>
      <c r="F79" s="930"/>
      <c r="G79" s="967"/>
    </row>
    <row r="80" spans="1:7" ht="57" customHeight="1" thickBot="1">
      <c r="B80" s="62" t="s">
        <v>97</v>
      </c>
      <c r="C80" s="842" t="s">
        <v>706</v>
      </c>
      <c r="D80" s="843"/>
      <c r="E80" s="843"/>
      <c r="F80" s="844"/>
      <c r="G80" s="968"/>
    </row>
    <row r="81" spans="2:6" ht="9" customHeight="1" thickBot="1">
      <c r="B81" s="10"/>
      <c r="C81" s="10"/>
    </row>
    <row r="82" spans="2:6" ht="18.75" customHeight="1">
      <c r="B82" s="987" t="s">
        <v>98</v>
      </c>
      <c r="C82" s="988"/>
      <c r="D82" s="919"/>
      <c r="E82" s="989" t="s">
        <v>99</v>
      </c>
      <c r="F82" s="990"/>
    </row>
    <row r="83" spans="2:6" ht="66" customHeight="1">
      <c r="B83" s="995" t="s">
        <v>707</v>
      </c>
      <c r="C83" s="996"/>
      <c r="D83" s="997"/>
      <c r="E83" s="991" t="s">
        <v>711</v>
      </c>
      <c r="F83" s="992"/>
    </row>
    <row r="84" spans="2:6" ht="66" customHeight="1">
      <c r="B84" s="995" t="s">
        <v>708</v>
      </c>
      <c r="C84" s="996"/>
      <c r="D84" s="997"/>
      <c r="E84" s="991" t="s">
        <v>712</v>
      </c>
      <c r="F84" s="992"/>
    </row>
    <row r="85" spans="2:6" ht="66" customHeight="1">
      <c r="B85" s="995" t="s">
        <v>709</v>
      </c>
      <c r="C85" s="996"/>
      <c r="D85" s="997"/>
      <c r="E85" s="991" t="s">
        <v>713</v>
      </c>
      <c r="F85" s="992"/>
    </row>
    <row r="86" spans="2:6" ht="66" customHeight="1" thickBot="1">
      <c r="B86" s="984" t="s">
        <v>710</v>
      </c>
      <c r="C86" s="985"/>
      <c r="D86" s="986"/>
      <c r="E86" s="993" t="s">
        <v>714</v>
      </c>
      <c r="F86" s="994"/>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2" priority="10">
      <formula>C38&gt;A38</formula>
    </cfRule>
  </conditionalFormatting>
  <conditionalFormatting sqref="D38">
    <cfRule type="expression" dxfId="71" priority="9">
      <formula>C38&gt;A38</formula>
    </cfRule>
  </conditionalFormatting>
  <conditionalFormatting sqref="D17">
    <cfRule type="expression" dxfId="70" priority="6">
      <formula>C17&gt;A17</formula>
    </cfRule>
  </conditionalFormatting>
  <conditionalFormatting sqref="D17">
    <cfRule type="expression" dxfId="69" priority="5">
      <formula>C17&gt;A17</formula>
    </cfRule>
  </conditionalFormatting>
  <conditionalFormatting sqref="D73">
    <cfRule type="expression" dxfId="68" priority="4">
      <formula>C73&gt;A73</formula>
    </cfRule>
  </conditionalFormatting>
  <conditionalFormatting sqref="D73">
    <cfRule type="expression" dxfId="67" priority="3">
      <formula>C73&gt;A73</formula>
    </cfRule>
  </conditionalFormatting>
  <conditionalFormatting sqref="D78">
    <cfRule type="expression" dxfId="66" priority="2">
      <formula>C78&gt;A78</formula>
    </cfRule>
  </conditionalFormatting>
  <conditionalFormatting sqref="D78">
    <cfRule type="expression" dxfId="65" priority="1">
      <formula>C78&gt;A78</formula>
    </cfRule>
  </conditionalFormatting>
  <conditionalFormatting sqref="E42">
    <cfRule type="expression" dxfId="64"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hyperlinks>
    <hyperlink ref="C10" r:id="rId1" display="https://www.facebook.com/venbagolykulturkocsma" xr:uid="{00000000-0004-0000-0900-000000000000}"/>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view="pageBreakPreview" topLeftCell="A28" zoomScale="70" zoomScaleNormal="80" zoomScaleSheetLayoutView="70" workbookViewId="0">
      <selection activeCell="B8" sqref="B8"/>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0" t="s">
        <v>251</v>
      </c>
      <c r="C1" s="881"/>
      <c r="D1" s="881"/>
      <c r="E1" s="881"/>
      <c r="F1" s="881"/>
      <c r="G1" s="881"/>
      <c r="H1" s="881"/>
      <c r="I1" s="881"/>
      <c r="J1" s="881"/>
      <c r="K1" s="881"/>
      <c r="L1" s="881"/>
      <c r="M1" s="881"/>
      <c r="N1" s="881"/>
      <c r="O1" s="882"/>
      <c r="P1" s="130" t="s">
        <v>207</v>
      </c>
    </row>
    <row r="2" spans="1:16" ht="21.75" customHeight="1" thickBot="1">
      <c r="B2" s="408"/>
      <c r="C2" s="178"/>
      <c r="D2" s="178"/>
      <c r="E2" s="178"/>
      <c r="F2" s="178"/>
      <c r="G2" s="178"/>
      <c r="H2" s="178"/>
      <c r="I2" s="178"/>
      <c r="J2" s="179"/>
      <c r="K2" s="179"/>
      <c r="L2" s="179"/>
      <c r="M2" s="178"/>
      <c r="N2" s="178"/>
      <c r="O2" s="409"/>
      <c r="P2" s="129" t="s">
        <v>290</v>
      </c>
    </row>
    <row r="3" spans="1:16" ht="239.25" hidden="1" customHeight="1" thickBot="1">
      <c r="B3" s="410" t="s">
        <v>100</v>
      </c>
      <c r="C3" s="36"/>
      <c r="D3" s="36"/>
      <c r="E3" s="36"/>
      <c r="F3" s="36"/>
      <c r="G3" s="36"/>
      <c r="H3" s="36"/>
      <c r="I3" s="36"/>
      <c r="J3" s="127"/>
      <c r="K3" s="127"/>
      <c r="L3" s="127"/>
      <c r="M3" s="36"/>
      <c r="N3" s="36"/>
      <c r="O3" s="411"/>
      <c r="P3" s="124"/>
    </row>
    <row r="4" spans="1:16" ht="27" customHeight="1">
      <c r="A4" s="196" t="s">
        <v>333</v>
      </c>
      <c r="B4" s="1079" t="s">
        <v>385</v>
      </c>
      <c r="C4" s="211" t="s">
        <v>333</v>
      </c>
      <c r="D4" s="1086" t="s">
        <v>295</v>
      </c>
      <c r="E4" s="1087"/>
      <c r="F4" s="1087"/>
      <c r="G4" s="1087"/>
      <c r="H4" s="1087"/>
      <c r="I4" s="1087"/>
      <c r="J4" s="1087"/>
      <c r="K4" s="1087"/>
      <c r="L4" s="1087"/>
      <c r="M4" s="1087"/>
      <c r="N4" s="1087"/>
      <c r="O4" s="1088"/>
      <c r="P4" s="1038" t="s">
        <v>410</v>
      </c>
    </row>
    <row r="5" spans="1:16" ht="27" customHeight="1">
      <c r="B5" s="889"/>
      <c r="C5" s="212"/>
      <c r="D5" s="1089" t="s">
        <v>296</v>
      </c>
      <c r="E5" s="1089"/>
      <c r="F5" s="1089"/>
      <c r="G5" s="1089"/>
      <c r="H5" s="1089"/>
      <c r="I5" s="1089"/>
      <c r="J5" s="1089"/>
      <c r="K5" s="1089"/>
      <c r="L5" s="1089"/>
      <c r="M5" s="1089"/>
      <c r="N5" s="1089"/>
      <c r="O5" s="1090"/>
      <c r="P5" s="1039"/>
    </row>
    <row r="6" spans="1:16" ht="27" customHeight="1">
      <c r="B6" s="889"/>
      <c r="C6" s="212" t="s">
        <v>333</v>
      </c>
      <c r="D6" s="1089" t="s">
        <v>297</v>
      </c>
      <c r="E6" s="1089"/>
      <c r="F6" s="1089"/>
      <c r="G6" s="1089"/>
      <c r="H6" s="1089"/>
      <c r="I6" s="1089"/>
      <c r="J6" s="1089"/>
      <c r="K6" s="1089"/>
      <c r="L6" s="1089"/>
      <c r="M6" s="1089"/>
      <c r="N6" s="1089"/>
      <c r="O6" s="1090"/>
      <c r="P6" s="1039"/>
    </row>
    <row r="7" spans="1:16" ht="27" customHeight="1" thickBot="1">
      <c r="B7" s="484" t="str">
        <f>IF(COUNTA(C4:C7)&gt;1,"csak 1 választ jelöljön!","kérjük, X-szel jelölje!")</f>
        <v>csak 1 választ jelöljön!</v>
      </c>
      <c r="C7" s="213"/>
      <c r="D7" s="1091" t="s">
        <v>298</v>
      </c>
      <c r="E7" s="1091"/>
      <c r="F7" s="1091"/>
      <c r="G7" s="1091"/>
      <c r="H7" s="1091"/>
      <c r="I7" s="1091"/>
      <c r="J7" s="1091"/>
      <c r="K7" s="1091"/>
      <c r="L7" s="1091"/>
      <c r="M7" s="1091"/>
      <c r="N7" s="1091"/>
      <c r="O7" s="1092"/>
      <c r="P7" s="1039"/>
    </row>
    <row r="8" spans="1:16" ht="27" customHeight="1" thickBot="1">
      <c r="B8" s="475" t="s">
        <v>386</v>
      </c>
      <c r="C8" s="36"/>
      <c r="D8" s="36"/>
      <c r="E8" s="36"/>
      <c r="F8" s="36"/>
      <c r="G8" s="36"/>
      <c r="H8" s="36"/>
      <c r="I8" s="36"/>
      <c r="J8" s="127"/>
      <c r="K8" s="127"/>
      <c r="L8" s="127"/>
      <c r="M8" s="36"/>
      <c r="N8" s="36"/>
      <c r="O8" s="411"/>
      <c r="P8" s="1039"/>
    </row>
    <row r="9" spans="1:16" ht="26.25" customHeight="1" thickBot="1">
      <c r="A9" s="238">
        <v>500</v>
      </c>
      <c r="B9" s="485" t="s">
        <v>1</v>
      </c>
      <c r="C9" s="146">
        <f>LEN(C10)</f>
        <v>391</v>
      </c>
      <c r="D9" s="840" t="str">
        <f>IF(C9&gt;A9,CONCATENATE("Karaktertúllépés! Kérjük, válaszát maximum ",A9," karakterben foglalja össze!"),CONCATENATE("Még beírható karakterek száma:   ",A9-C9))</f>
        <v>Még beírható karakterek száma:   109</v>
      </c>
      <c r="E9" s="909"/>
      <c r="F9" s="909"/>
      <c r="G9" s="909"/>
      <c r="H9" s="909"/>
      <c r="I9" s="909"/>
      <c r="J9" s="909"/>
      <c r="K9" s="909"/>
      <c r="L9" s="909"/>
      <c r="M9" s="909"/>
      <c r="N9" s="909"/>
      <c r="O9" s="1052"/>
      <c r="P9" s="1039"/>
    </row>
    <row r="10" spans="1:16" ht="139.5" customHeight="1" thickBot="1">
      <c r="B10" s="484" t="s">
        <v>237</v>
      </c>
      <c r="C10" s="957" t="s">
        <v>715</v>
      </c>
      <c r="D10" s="958"/>
      <c r="E10" s="958"/>
      <c r="F10" s="958"/>
      <c r="G10" s="958"/>
      <c r="H10" s="958"/>
      <c r="I10" s="958"/>
      <c r="J10" s="958"/>
      <c r="K10" s="958"/>
      <c r="L10" s="958"/>
      <c r="M10" s="958"/>
      <c r="N10" s="958"/>
      <c r="O10" s="1054"/>
      <c r="P10" s="1040"/>
    </row>
    <row r="11" spans="1:16" ht="8.25" customHeight="1">
      <c r="B11" s="475"/>
      <c r="C11" s="36"/>
      <c r="D11" s="36"/>
      <c r="E11" s="36"/>
      <c r="F11" s="36"/>
      <c r="G11" s="36"/>
      <c r="H11" s="36"/>
      <c r="I11" s="36"/>
      <c r="J11" s="127"/>
      <c r="K11" s="127"/>
      <c r="L11" s="127"/>
      <c r="M11" s="36"/>
      <c r="N11" s="36"/>
      <c r="O11" s="411"/>
      <c r="P11" s="35"/>
    </row>
    <row r="12" spans="1:16" ht="26.25" thickBot="1">
      <c r="B12" s="475" t="s">
        <v>101</v>
      </c>
      <c r="C12" s="36"/>
      <c r="D12" s="36"/>
      <c r="E12" s="36"/>
      <c r="F12" s="36"/>
      <c r="G12" s="36"/>
      <c r="H12" s="36"/>
      <c r="I12" s="36"/>
      <c r="J12" s="127"/>
      <c r="K12" s="127"/>
      <c r="L12" s="127"/>
      <c r="M12" s="36"/>
      <c r="N12" s="36"/>
      <c r="O12" s="411"/>
      <c r="P12" s="35"/>
    </row>
    <row r="13" spans="1:16" ht="32.25" customHeight="1" thickBot="1">
      <c r="A13" s="238">
        <v>1000</v>
      </c>
      <c r="B13" s="485" t="s">
        <v>1</v>
      </c>
      <c r="C13" s="146">
        <f>LEN(C14)</f>
        <v>333</v>
      </c>
      <c r="D13" s="840" t="str">
        <f>IF(C13&gt;A13,CONCATENATE("Karaktertúllépés! Kérjük, válaszát maximum ",A13," karakterben foglalja össze!"),CONCATENATE("Még beírható karakterek száma:   ",A13-C13))</f>
        <v>Még beírható karakterek száma:   667</v>
      </c>
      <c r="E13" s="909"/>
      <c r="F13" s="909"/>
      <c r="G13" s="909"/>
      <c r="H13" s="909"/>
      <c r="I13" s="909"/>
      <c r="J13" s="909"/>
      <c r="K13" s="909"/>
      <c r="L13" s="909"/>
      <c r="M13" s="909"/>
      <c r="N13" s="909"/>
      <c r="O13" s="1052"/>
    </row>
    <row r="14" spans="1:16" ht="280.5" customHeight="1" thickBot="1">
      <c r="B14" s="484" t="s">
        <v>257</v>
      </c>
      <c r="C14" s="928" t="s">
        <v>716</v>
      </c>
      <c r="D14" s="929"/>
      <c r="E14" s="929"/>
      <c r="F14" s="929"/>
      <c r="G14" s="929"/>
      <c r="H14" s="929"/>
      <c r="I14" s="929"/>
      <c r="J14" s="929"/>
      <c r="K14" s="929"/>
      <c r="L14" s="929"/>
      <c r="M14" s="929"/>
      <c r="N14" s="929"/>
      <c r="O14" s="1053"/>
      <c r="P14" s="276" t="s">
        <v>300</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055" t="s">
        <v>102</v>
      </c>
      <c r="C16" s="1056"/>
      <c r="D16" s="1056"/>
      <c r="E16" s="1056"/>
      <c r="F16" s="1056"/>
      <c r="G16" s="1056"/>
      <c r="H16" s="1056"/>
      <c r="I16" s="1056"/>
      <c r="J16" s="1056"/>
      <c r="K16" s="1056"/>
      <c r="L16" s="1056"/>
      <c r="M16" s="1056"/>
      <c r="N16" s="1057"/>
      <c r="O16" s="414" t="s">
        <v>103</v>
      </c>
      <c r="P16" s="6"/>
    </row>
    <row r="17" spans="1:16" ht="22.5" customHeight="1">
      <c r="A17" s="196" t="s">
        <v>333</v>
      </c>
      <c r="B17" s="1079" t="s">
        <v>307</v>
      </c>
      <c r="C17" s="204" t="s">
        <v>333</v>
      </c>
      <c r="D17" s="1095" t="s">
        <v>301</v>
      </c>
      <c r="E17" s="1095"/>
      <c r="F17" s="1095"/>
      <c r="G17" s="1095"/>
      <c r="H17" s="1095"/>
      <c r="I17" s="1095"/>
      <c r="J17" s="1095"/>
      <c r="K17" s="1095"/>
      <c r="L17" s="1095"/>
      <c r="M17" s="1095"/>
      <c r="N17" s="1096"/>
      <c r="O17" s="415">
        <v>0.1</v>
      </c>
      <c r="P17" s="1038" t="s">
        <v>310</v>
      </c>
    </row>
    <row r="18" spans="1:16" ht="22.5" customHeight="1">
      <c r="B18" s="889"/>
      <c r="C18" s="205" t="s">
        <v>333</v>
      </c>
      <c r="D18" s="1081" t="s">
        <v>302</v>
      </c>
      <c r="E18" s="1081"/>
      <c r="F18" s="1081"/>
      <c r="G18" s="1081"/>
      <c r="H18" s="1081"/>
      <c r="I18" s="1081"/>
      <c r="J18" s="1081"/>
      <c r="K18" s="1081"/>
      <c r="L18" s="1081"/>
      <c r="M18" s="1081"/>
      <c r="N18" s="1082"/>
      <c r="O18" s="416">
        <v>0.6</v>
      </c>
      <c r="P18" s="1093"/>
    </row>
    <row r="19" spans="1:16" ht="22.5" customHeight="1">
      <c r="B19" s="889"/>
      <c r="C19" s="205"/>
      <c r="D19" s="1081" t="s">
        <v>303</v>
      </c>
      <c r="E19" s="1081"/>
      <c r="F19" s="1081"/>
      <c r="G19" s="1081"/>
      <c r="H19" s="1081"/>
      <c r="I19" s="1081"/>
      <c r="J19" s="1081"/>
      <c r="K19" s="1081"/>
      <c r="L19" s="1081"/>
      <c r="M19" s="1081"/>
      <c r="N19" s="1082"/>
      <c r="O19" s="416"/>
      <c r="P19" s="1093"/>
    </row>
    <row r="20" spans="1:16" ht="22.5" customHeight="1">
      <c r="B20" s="889"/>
      <c r="C20" s="205" t="s">
        <v>333</v>
      </c>
      <c r="D20" s="1081" t="s">
        <v>304</v>
      </c>
      <c r="E20" s="1081"/>
      <c r="F20" s="1081"/>
      <c r="G20" s="1081"/>
      <c r="H20" s="1081"/>
      <c r="I20" s="1081"/>
      <c r="J20" s="1081"/>
      <c r="K20" s="1081"/>
      <c r="L20" s="1081"/>
      <c r="M20" s="1081"/>
      <c r="N20" s="1082"/>
      <c r="O20" s="416">
        <v>0.3</v>
      </c>
      <c r="P20" s="1093"/>
    </row>
    <row r="21" spans="1:16" ht="22.5" customHeight="1">
      <c r="B21" s="889"/>
      <c r="C21" s="205"/>
      <c r="D21" s="1081" t="s">
        <v>305</v>
      </c>
      <c r="E21" s="1081"/>
      <c r="F21" s="1081"/>
      <c r="G21" s="1081"/>
      <c r="H21" s="1081"/>
      <c r="I21" s="1081"/>
      <c r="J21" s="1081"/>
      <c r="K21" s="1081"/>
      <c r="L21" s="1081"/>
      <c r="M21" s="1081"/>
      <c r="N21" s="1082"/>
      <c r="O21" s="416"/>
      <c r="P21" s="1093"/>
    </row>
    <row r="22" spans="1:16" ht="22.5" customHeight="1">
      <c r="B22" s="889"/>
      <c r="C22" s="205"/>
      <c r="D22" s="1081" t="s">
        <v>306</v>
      </c>
      <c r="E22" s="1081"/>
      <c r="F22" s="1081"/>
      <c r="G22" s="1081"/>
      <c r="H22" s="1081"/>
      <c r="I22" s="1081"/>
      <c r="J22" s="1081"/>
      <c r="K22" s="1081"/>
      <c r="L22" s="1081"/>
      <c r="M22" s="1081"/>
      <c r="N22" s="1082"/>
      <c r="O22" s="416"/>
      <c r="P22" s="1093"/>
    </row>
    <row r="23" spans="1:16" ht="22.5" customHeight="1">
      <c r="B23" s="889"/>
      <c r="C23" s="205"/>
      <c r="D23" s="1081" t="s">
        <v>308</v>
      </c>
      <c r="E23" s="1081"/>
      <c r="F23" s="1081"/>
      <c r="G23" s="1081"/>
      <c r="H23" s="1081"/>
      <c r="I23" s="1081"/>
      <c r="J23" s="1081"/>
      <c r="K23" s="1081"/>
      <c r="L23" s="1081"/>
      <c r="M23" s="1081"/>
      <c r="N23" s="1082"/>
      <c r="O23" s="417"/>
      <c r="P23" s="1093"/>
    </row>
    <row r="24" spans="1:16" ht="22.5" customHeight="1" thickBot="1">
      <c r="B24" s="1080"/>
      <c r="C24" s="1083" t="s">
        <v>309</v>
      </c>
      <c r="D24" s="1084"/>
      <c r="E24" s="1084"/>
      <c r="F24" s="1084"/>
      <c r="G24" s="1084"/>
      <c r="H24" s="1084"/>
      <c r="I24" s="1084"/>
      <c r="J24" s="1084"/>
      <c r="K24" s="1084"/>
      <c r="L24" s="1084"/>
      <c r="M24" s="1084"/>
      <c r="N24" s="1085"/>
      <c r="O24" s="418">
        <f>SUM(O17:O23)</f>
        <v>1</v>
      </c>
      <c r="P24" s="1094"/>
    </row>
    <row r="25" spans="1:16" ht="15.75" customHeight="1" thickBot="1">
      <c r="B25" s="419"/>
      <c r="C25" s="36"/>
      <c r="D25" s="36"/>
      <c r="E25" s="36"/>
      <c r="F25" s="36"/>
      <c r="G25" s="36"/>
      <c r="H25" s="36"/>
      <c r="I25" s="36"/>
      <c r="J25" s="127"/>
      <c r="K25" s="127"/>
      <c r="L25" s="127"/>
      <c r="M25" s="36"/>
      <c r="N25" s="36"/>
      <c r="O25" s="411"/>
      <c r="P25" s="6"/>
    </row>
    <row r="26" spans="1:16" ht="26.25" thickBot="1">
      <c r="B26" s="480" t="s">
        <v>104</v>
      </c>
      <c r="C26" s="481"/>
      <c r="D26" s="481"/>
      <c r="E26" s="481"/>
      <c r="F26" s="481"/>
      <c r="G26" s="481"/>
      <c r="H26" s="481"/>
      <c r="I26" s="481"/>
      <c r="J26" s="482"/>
      <c r="K26" s="482"/>
      <c r="L26" s="482"/>
      <c r="M26" s="481"/>
      <c r="N26" s="481"/>
      <c r="O26" s="483"/>
      <c r="P26" s="6"/>
    </row>
    <row r="27" spans="1:16" ht="34.5" customHeight="1" thickBot="1">
      <c r="B27" s="1049" t="s">
        <v>299</v>
      </c>
      <c r="C27" s="1050"/>
      <c r="D27" s="1050"/>
      <c r="E27" s="1050"/>
      <c r="F27" s="1050"/>
      <c r="G27" s="1050"/>
      <c r="H27" s="1050"/>
      <c r="I27" s="1050"/>
      <c r="J27" s="1050"/>
      <c r="K27" s="1050"/>
      <c r="L27" s="1050"/>
      <c r="M27" s="1050"/>
      <c r="N27" s="1050"/>
      <c r="O27" s="1051"/>
      <c r="P27" s="1058" t="s">
        <v>469</v>
      </c>
    </row>
    <row r="28" spans="1:16" ht="42" customHeight="1" thickBot="1">
      <c r="B28" s="479" t="s">
        <v>66</v>
      </c>
      <c r="C28" s="19">
        <v>1</v>
      </c>
      <c r="D28" s="19">
        <v>2</v>
      </c>
      <c r="E28" s="19">
        <v>3</v>
      </c>
      <c r="F28" s="19">
        <v>4</v>
      </c>
      <c r="G28" s="19">
        <v>5</v>
      </c>
      <c r="H28" s="19">
        <v>6</v>
      </c>
      <c r="I28" s="19">
        <v>7</v>
      </c>
      <c r="J28" s="19">
        <v>8</v>
      </c>
      <c r="K28" s="19">
        <v>9</v>
      </c>
      <c r="L28" s="19">
        <v>10</v>
      </c>
      <c r="M28" s="19">
        <v>11</v>
      </c>
      <c r="N28" s="19">
        <v>12</v>
      </c>
      <c r="O28" s="420" t="s">
        <v>105</v>
      </c>
      <c r="P28" s="1059"/>
    </row>
    <row r="29" spans="1:16" ht="30.75" customHeight="1" thickBot="1">
      <c r="B29" s="346" t="s">
        <v>67</v>
      </c>
      <c r="C29" s="713">
        <v>11</v>
      </c>
      <c r="D29" s="713">
        <v>12</v>
      </c>
      <c r="E29" s="713">
        <v>1</v>
      </c>
      <c r="F29" s="713">
        <v>2</v>
      </c>
      <c r="G29" s="713">
        <v>3</v>
      </c>
      <c r="H29" s="713">
        <v>4</v>
      </c>
      <c r="I29" s="713">
        <v>5</v>
      </c>
      <c r="J29" s="713">
        <v>6</v>
      </c>
      <c r="K29" s="713">
        <v>7</v>
      </c>
      <c r="L29" s="713">
        <v>8</v>
      </c>
      <c r="M29" s="713">
        <v>9</v>
      </c>
      <c r="N29" s="713">
        <v>10</v>
      </c>
      <c r="O29" s="556"/>
      <c r="P29" s="1059"/>
    </row>
    <row r="30" spans="1:16" ht="43.5" customHeight="1" thickBot="1">
      <c r="B30" s="345" t="s">
        <v>751</v>
      </c>
      <c r="C30" s="208">
        <v>200</v>
      </c>
      <c r="D30" s="208">
        <v>200</v>
      </c>
      <c r="E30" s="208">
        <v>100</v>
      </c>
      <c r="F30" s="208">
        <v>100</v>
      </c>
      <c r="G30" s="208">
        <v>100</v>
      </c>
      <c r="H30" s="208">
        <v>200</v>
      </c>
      <c r="I30" s="208">
        <v>200</v>
      </c>
      <c r="J30" s="208">
        <v>200</v>
      </c>
      <c r="K30" s="208">
        <v>200</v>
      </c>
      <c r="L30" s="208">
        <v>200</v>
      </c>
      <c r="M30" s="208">
        <v>200</v>
      </c>
      <c r="N30" s="208">
        <v>300</v>
      </c>
      <c r="O30" s="422">
        <f>SUM(C30:N30)</f>
        <v>2200</v>
      </c>
      <c r="P30" s="1059"/>
    </row>
    <row r="31" spans="1:16" ht="57.75" customHeight="1" thickBot="1">
      <c r="B31" s="345" t="s">
        <v>749</v>
      </c>
      <c r="C31" s="208">
        <v>150</v>
      </c>
      <c r="D31" s="208">
        <v>200</v>
      </c>
      <c r="E31" s="208">
        <v>100</v>
      </c>
      <c r="F31" s="208">
        <v>100</v>
      </c>
      <c r="G31" s="208">
        <v>100</v>
      </c>
      <c r="H31" s="208">
        <v>150</v>
      </c>
      <c r="I31" s="208">
        <v>150</v>
      </c>
      <c r="J31" s="208">
        <v>150</v>
      </c>
      <c r="K31" s="208">
        <v>200</v>
      </c>
      <c r="L31" s="208">
        <v>200</v>
      </c>
      <c r="M31" s="208">
        <v>200</v>
      </c>
      <c r="N31" s="208">
        <v>150</v>
      </c>
      <c r="O31" s="422">
        <f>SUM(C31:N31)</f>
        <v>1850</v>
      </c>
      <c r="P31" s="1059"/>
    </row>
    <row r="32" spans="1:16" ht="43.5" customHeight="1" thickBot="1">
      <c r="B32" s="345" t="s">
        <v>227</v>
      </c>
      <c r="C32" s="208"/>
      <c r="D32" s="208"/>
      <c r="E32" s="208"/>
      <c r="F32" s="208"/>
      <c r="G32" s="208"/>
      <c r="H32" s="208"/>
      <c r="I32" s="208"/>
      <c r="J32" s="208"/>
      <c r="K32" s="208"/>
      <c r="L32" s="208"/>
      <c r="M32" s="208"/>
      <c r="N32" s="208"/>
      <c r="O32" s="422">
        <f>SUM(C32:N32)</f>
        <v>0</v>
      </c>
      <c r="P32" s="1059"/>
    </row>
    <row r="33" spans="2:16" ht="43.5" customHeight="1" thickBot="1">
      <c r="B33" s="345" t="s">
        <v>228</v>
      </c>
      <c r="C33" s="208"/>
      <c r="D33" s="208"/>
      <c r="E33" s="208"/>
      <c r="F33" s="208"/>
      <c r="G33" s="208"/>
      <c r="H33" s="208"/>
      <c r="I33" s="208"/>
      <c r="J33" s="208"/>
      <c r="K33" s="208"/>
      <c r="L33" s="208"/>
      <c r="M33" s="208"/>
      <c r="N33" s="208"/>
      <c r="O33" s="422">
        <f>SUM(C33:N33)</f>
        <v>0</v>
      </c>
      <c r="P33" s="1059"/>
    </row>
    <row r="34" spans="2:16" ht="39" customHeight="1" thickBot="1">
      <c r="B34" s="346" t="s">
        <v>105</v>
      </c>
      <c r="C34" s="209">
        <f>SUM(C30:C33)</f>
        <v>350</v>
      </c>
      <c r="D34" s="209">
        <f t="shared" ref="D34:N34" si="0">SUM(D30:D33)</f>
        <v>400</v>
      </c>
      <c r="E34" s="209">
        <f t="shared" si="0"/>
        <v>200</v>
      </c>
      <c r="F34" s="209">
        <f t="shared" si="0"/>
        <v>200</v>
      </c>
      <c r="G34" s="209">
        <f t="shared" si="0"/>
        <v>200</v>
      </c>
      <c r="H34" s="209">
        <f t="shared" si="0"/>
        <v>350</v>
      </c>
      <c r="I34" s="209">
        <f t="shared" si="0"/>
        <v>350</v>
      </c>
      <c r="J34" s="209">
        <f t="shared" si="0"/>
        <v>350</v>
      </c>
      <c r="K34" s="209">
        <f t="shared" si="0"/>
        <v>400</v>
      </c>
      <c r="L34" s="209">
        <f t="shared" si="0"/>
        <v>400</v>
      </c>
      <c r="M34" s="209">
        <f t="shared" si="0"/>
        <v>400</v>
      </c>
      <c r="N34" s="209">
        <f t="shared" si="0"/>
        <v>450</v>
      </c>
      <c r="O34" s="422">
        <f>SUM(C34:N34)</f>
        <v>4050</v>
      </c>
      <c r="P34" s="1060"/>
    </row>
    <row r="35" spans="2:16" ht="14.25" customHeight="1">
      <c r="B35" s="423"/>
      <c r="C35" s="36"/>
      <c r="D35" s="36"/>
      <c r="E35" s="36"/>
      <c r="F35" s="36"/>
      <c r="G35" s="36"/>
      <c r="H35" s="36"/>
      <c r="I35" s="36"/>
      <c r="J35" s="127"/>
      <c r="K35" s="127"/>
      <c r="L35" s="127"/>
      <c r="M35" s="36"/>
      <c r="N35" s="36"/>
      <c r="O35" s="411"/>
      <c r="P35" s="6"/>
    </row>
    <row r="36" spans="2:16" ht="26.25" thickBot="1">
      <c r="B36" s="475" t="s">
        <v>471</v>
      </c>
      <c r="C36" s="476"/>
      <c r="D36" s="476"/>
      <c r="E36" s="476"/>
      <c r="F36" s="476"/>
      <c r="G36" s="476"/>
      <c r="H36" s="476"/>
      <c r="I36" s="476"/>
      <c r="J36" s="477"/>
      <c r="K36" s="477"/>
      <c r="L36" s="477"/>
      <c r="M36" s="476"/>
      <c r="N36" s="476"/>
      <c r="O36" s="478"/>
      <c r="P36" s="6"/>
    </row>
    <row r="37" spans="2:16" ht="31.5" customHeight="1" thickBot="1">
      <c r="B37" s="1068" t="s">
        <v>256</v>
      </c>
      <c r="C37" s="1069"/>
      <c r="D37" s="1069"/>
      <c r="E37" s="1069"/>
      <c r="F37" s="1069"/>
      <c r="G37" s="1069"/>
      <c r="H37" s="1069"/>
      <c r="I37" s="1069"/>
      <c r="J37" s="1069"/>
      <c r="K37" s="1069"/>
      <c r="L37" s="1069"/>
      <c r="M37" s="1069"/>
      <c r="N37" s="1069"/>
      <c r="O37" s="1070"/>
      <c r="P37" s="1038" t="s">
        <v>531</v>
      </c>
    </row>
    <row r="38" spans="2:16" ht="24" customHeight="1" thickBot="1">
      <c r="B38" s="424"/>
      <c r="C38" s="1034">
        <v>2018</v>
      </c>
      <c r="D38" s="870"/>
      <c r="E38" s="870"/>
      <c r="F38" s="1033"/>
      <c r="G38" s="870">
        <v>2019</v>
      </c>
      <c r="H38" s="870"/>
      <c r="I38" s="1033"/>
      <c r="J38" s="1072">
        <v>2020</v>
      </c>
      <c r="K38" s="1073"/>
      <c r="L38" s="1078"/>
      <c r="M38" s="1072">
        <v>2021</v>
      </c>
      <c r="N38" s="1073"/>
      <c r="O38" s="1074"/>
      <c r="P38" s="1039"/>
    </row>
    <row r="39" spans="2:16" ht="30" customHeight="1" thickBot="1">
      <c r="B39" s="487" t="s">
        <v>470</v>
      </c>
      <c r="C39" s="1030" t="s">
        <v>106</v>
      </c>
      <c r="D39" s="1031"/>
      <c r="E39" s="1031"/>
      <c r="F39" s="1032"/>
      <c r="G39" s="1047" t="s">
        <v>106</v>
      </c>
      <c r="H39" s="898"/>
      <c r="I39" s="1048"/>
      <c r="J39" s="1075" t="s">
        <v>106</v>
      </c>
      <c r="K39" s="898"/>
      <c r="L39" s="1048"/>
      <c r="M39" s="1075" t="s">
        <v>107</v>
      </c>
      <c r="N39" s="898"/>
      <c r="O39" s="1076"/>
      <c r="P39" s="1039"/>
    </row>
    <row r="40" spans="2:16" ht="51.95" customHeight="1" thickBot="1">
      <c r="B40" s="345" t="s">
        <v>751</v>
      </c>
      <c r="C40" s="1035">
        <v>500</v>
      </c>
      <c r="D40" s="1036"/>
      <c r="E40" s="1036"/>
      <c r="F40" s="1037"/>
      <c r="G40" s="1061">
        <v>2500</v>
      </c>
      <c r="H40" s="1062"/>
      <c r="I40" s="1063"/>
      <c r="J40" s="1044">
        <v>4000</v>
      </c>
      <c r="K40" s="1045"/>
      <c r="L40" s="1046"/>
      <c r="M40" s="1066">
        <v>4200</v>
      </c>
      <c r="N40" s="1045"/>
      <c r="O40" s="1077"/>
      <c r="P40" s="1039"/>
    </row>
    <row r="41" spans="2:16" ht="51.95" customHeight="1" thickBot="1">
      <c r="B41" s="345" t="s">
        <v>749</v>
      </c>
      <c r="C41" s="1035">
        <v>250</v>
      </c>
      <c r="D41" s="1036"/>
      <c r="E41" s="1036"/>
      <c r="F41" s="1037"/>
      <c r="G41" s="1061">
        <v>1700</v>
      </c>
      <c r="H41" s="1062"/>
      <c r="I41" s="1063"/>
      <c r="J41" s="1064">
        <v>2000</v>
      </c>
      <c r="K41" s="1065"/>
      <c r="L41" s="1066"/>
      <c r="M41" s="1064">
        <v>2300</v>
      </c>
      <c r="N41" s="1065"/>
      <c r="O41" s="1067"/>
      <c r="P41" s="1039"/>
    </row>
    <row r="42" spans="2:16" ht="51.95" customHeight="1" thickBot="1">
      <c r="B42" s="345" t="s">
        <v>227</v>
      </c>
      <c r="C42" s="1035"/>
      <c r="D42" s="1036"/>
      <c r="E42" s="1036"/>
      <c r="F42" s="1037"/>
      <c r="G42" s="1061"/>
      <c r="H42" s="1062"/>
      <c r="I42" s="1063"/>
      <c r="J42" s="1064"/>
      <c r="K42" s="1065"/>
      <c r="L42" s="1066"/>
      <c r="M42" s="1064"/>
      <c r="N42" s="1065"/>
      <c r="O42" s="1067"/>
      <c r="P42" s="1039"/>
    </row>
    <row r="43" spans="2:16" ht="51.95" customHeight="1" thickBot="1">
      <c r="B43" s="345" t="s">
        <v>228</v>
      </c>
      <c r="C43" s="1035"/>
      <c r="D43" s="1036"/>
      <c r="E43" s="1036"/>
      <c r="F43" s="1037"/>
      <c r="G43" s="1061"/>
      <c r="H43" s="1062"/>
      <c r="I43" s="1063"/>
      <c r="J43" s="1064"/>
      <c r="K43" s="1065"/>
      <c r="L43" s="1066"/>
      <c r="M43" s="1064"/>
      <c r="N43" s="1065"/>
      <c r="O43" s="1067"/>
      <c r="P43" s="1039"/>
    </row>
    <row r="44" spans="2:16" ht="41.25" customHeight="1" thickBot="1">
      <c r="B44" s="486" t="s">
        <v>105</v>
      </c>
      <c r="C44" s="1027">
        <f>SUM(C40:F43)</f>
        <v>750</v>
      </c>
      <c r="D44" s="1028"/>
      <c r="E44" s="1028"/>
      <c r="F44" s="1029"/>
      <c r="G44" s="1041">
        <f>SUM(G40:I43)</f>
        <v>4200</v>
      </c>
      <c r="H44" s="1042"/>
      <c r="I44" s="1043"/>
      <c r="J44" s="1041">
        <f>SUM(J40:L43)</f>
        <v>6000</v>
      </c>
      <c r="K44" s="1042"/>
      <c r="L44" s="1043"/>
      <c r="M44" s="1041">
        <f>SUM(M40:O43)</f>
        <v>6500</v>
      </c>
      <c r="N44" s="1042"/>
      <c r="O44" s="1071"/>
      <c r="P44" s="1040"/>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3" priority="4">
      <formula>C9&gt;A9</formula>
    </cfRule>
  </conditionalFormatting>
  <conditionalFormatting sqref="D9">
    <cfRule type="expression" dxfId="62" priority="3">
      <formula>C9&gt;A9</formula>
    </cfRule>
  </conditionalFormatting>
  <conditionalFormatting sqref="D13">
    <cfRule type="expression" dxfId="61" priority="2">
      <formula>C13&gt;A13</formula>
    </cfRule>
  </conditionalFormatting>
  <conditionalFormatting sqref="D13">
    <cfRule type="expression" dxfId="60" priority="1">
      <formula>C13&gt;A13</formula>
    </cfRule>
  </conditionalFormatting>
  <dataValidations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view="pageBreakPreview" topLeftCell="A7" zoomScale="70" zoomScaleNormal="80" zoomScaleSheetLayoutView="70" workbookViewId="0">
      <selection activeCell="B8" sqref="B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0" t="s">
        <v>249</v>
      </c>
      <c r="C1" s="881"/>
      <c r="D1" s="881"/>
      <c r="E1" s="881"/>
      <c r="F1" s="881"/>
      <c r="G1" s="881"/>
      <c r="H1" s="881"/>
      <c r="I1" s="881"/>
      <c r="J1" s="881"/>
      <c r="K1" s="881"/>
      <c r="L1" s="881"/>
      <c r="M1" s="881"/>
      <c r="N1" s="881"/>
      <c r="O1" s="882"/>
      <c r="P1" s="425" t="s">
        <v>207</v>
      </c>
    </row>
    <row r="2" spans="1:16" ht="21.75" customHeight="1" thickBot="1">
      <c r="B2" s="408"/>
      <c r="C2" s="178"/>
      <c r="D2" s="178"/>
      <c r="E2" s="178"/>
      <c r="F2" s="178"/>
      <c r="G2" s="178"/>
      <c r="H2" s="178"/>
      <c r="I2" s="178"/>
      <c r="J2" s="179"/>
      <c r="K2" s="179"/>
      <c r="L2" s="179"/>
      <c r="M2" s="178"/>
      <c r="N2" s="178"/>
      <c r="O2" s="409"/>
      <c r="P2" s="129" t="s">
        <v>290</v>
      </c>
    </row>
    <row r="3" spans="1:16" ht="239.25" hidden="1" customHeight="1" thickBot="1">
      <c r="B3" s="410" t="s">
        <v>100</v>
      </c>
      <c r="C3" s="36"/>
      <c r="D3" s="36"/>
      <c r="E3" s="36"/>
      <c r="F3" s="36"/>
      <c r="G3" s="36"/>
      <c r="H3" s="36"/>
      <c r="I3" s="36"/>
      <c r="J3" s="127"/>
      <c r="K3" s="127"/>
      <c r="L3" s="127"/>
      <c r="M3" s="36"/>
      <c r="N3" s="36"/>
      <c r="O3" s="411"/>
      <c r="P3" s="181"/>
    </row>
    <row r="4" spans="1:16" ht="36" customHeight="1" thickBot="1">
      <c r="A4" s="238">
        <v>500</v>
      </c>
      <c r="B4" s="412" t="s">
        <v>1</v>
      </c>
      <c r="C4" s="146">
        <f>LEN(C5)</f>
        <v>87</v>
      </c>
      <c r="D4" s="840" t="str">
        <f>IF(C4&gt;A4,CONCATENATE("Karaktertúllépés! Kérjük, válaszát maximum ",A4," karakterben foglalja össze!"),CONCATENATE("Még beírható karakterek száma:   ",A4-C4))</f>
        <v>Még beírható karakterek száma:   413</v>
      </c>
      <c r="E4" s="909"/>
      <c r="F4" s="909"/>
      <c r="G4" s="909"/>
      <c r="H4" s="909"/>
      <c r="I4" s="909"/>
      <c r="J4" s="909"/>
      <c r="K4" s="909"/>
      <c r="L4" s="909"/>
      <c r="M4" s="909"/>
      <c r="N4" s="909"/>
      <c r="O4" s="1052"/>
      <c r="P4" s="275" t="s">
        <v>261</v>
      </c>
    </row>
    <row r="5" spans="1:16" ht="182.25" customHeight="1" thickBot="1">
      <c r="B5" s="430" t="s">
        <v>239</v>
      </c>
      <c r="C5" s="957" t="s">
        <v>717</v>
      </c>
      <c r="D5" s="958"/>
      <c r="E5" s="958"/>
      <c r="F5" s="958"/>
      <c r="G5" s="958"/>
      <c r="H5" s="958"/>
      <c r="I5" s="958"/>
      <c r="J5" s="958"/>
      <c r="K5" s="958"/>
      <c r="L5" s="958"/>
      <c r="M5" s="958"/>
      <c r="N5" s="958"/>
      <c r="O5" s="1054"/>
      <c r="P5" s="276" t="s">
        <v>389</v>
      </c>
    </row>
    <row r="6" spans="1:16" ht="27.75" customHeight="1" thickBot="1">
      <c r="A6" s="238">
        <v>500</v>
      </c>
      <c r="B6" s="412" t="s">
        <v>1</v>
      </c>
      <c r="C6" s="146">
        <f>LEN(C7)</f>
        <v>468</v>
      </c>
      <c r="D6" s="840" t="str">
        <f>IF(C6&gt;A6,CONCATENATE("Karaktertúllépés! Kérjük, válaszát maximum ",A6," karakterben foglalja össze!"),CONCATENATE("Még beírható karakterek száma:   ",A6-C6))</f>
        <v>Még beírható karakterek száma:   32</v>
      </c>
      <c r="E6" s="909"/>
      <c r="F6" s="909"/>
      <c r="G6" s="909"/>
      <c r="H6" s="909"/>
      <c r="I6" s="909"/>
      <c r="J6" s="909"/>
      <c r="K6" s="909"/>
      <c r="L6" s="909"/>
      <c r="M6" s="909"/>
      <c r="N6" s="909"/>
      <c r="O6" s="1052"/>
      <c r="P6" s="275"/>
    </row>
    <row r="7" spans="1:16" ht="193.5" customHeight="1" thickBot="1">
      <c r="B7" s="413" t="s">
        <v>218</v>
      </c>
      <c r="C7" s="957" t="s">
        <v>718</v>
      </c>
      <c r="D7" s="958"/>
      <c r="E7" s="958"/>
      <c r="F7" s="958"/>
      <c r="G7" s="958"/>
      <c r="H7" s="958"/>
      <c r="I7" s="958"/>
      <c r="J7" s="958"/>
      <c r="K7" s="958"/>
      <c r="L7" s="958"/>
      <c r="M7" s="958"/>
      <c r="N7" s="958"/>
      <c r="O7" s="1054"/>
      <c r="P7" s="277" t="s">
        <v>388</v>
      </c>
    </row>
    <row r="8" spans="1:16" ht="11.25" customHeight="1" thickBot="1">
      <c r="B8" s="423"/>
      <c r="C8" s="36"/>
      <c r="D8" s="36"/>
      <c r="E8" s="36"/>
      <c r="F8" s="36"/>
      <c r="G8" s="36"/>
      <c r="H8" s="36"/>
      <c r="I8" s="36"/>
      <c r="J8" s="127"/>
      <c r="K8" s="127"/>
      <c r="L8" s="127"/>
      <c r="M8" s="36"/>
      <c r="N8" s="36"/>
      <c r="O8" s="411"/>
      <c r="P8" s="278"/>
    </row>
    <row r="9" spans="1:16" ht="26.25" thickBot="1">
      <c r="B9" s="475" t="s">
        <v>108</v>
      </c>
      <c r="C9" s="476"/>
      <c r="D9" s="476"/>
      <c r="E9" s="476"/>
      <c r="F9" s="476"/>
      <c r="G9" s="476"/>
      <c r="H9" s="476"/>
      <c r="I9" s="476"/>
      <c r="J9" s="477"/>
      <c r="K9" s="477"/>
      <c r="L9" s="477"/>
      <c r="M9" s="476"/>
      <c r="N9" s="476"/>
      <c r="O9" s="478"/>
      <c r="P9" s="426"/>
    </row>
    <row r="10" spans="1:16" ht="32.25" customHeight="1" thickBot="1">
      <c r="B10" s="1097" t="s">
        <v>396</v>
      </c>
      <c r="C10" s="1098"/>
      <c r="D10" s="1098"/>
      <c r="E10" s="1098"/>
      <c r="F10" s="1098"/>
      <c r="G10" s="1098"/>
      <c r="H10" s="1098"/>
      <c r="I10" s="1098"/>
      <c r="J10" s="1098"/>
      <c r="K10" s="1098"/>
      <c r="L10" s="1098"/>
      <c r="M10" s="1098"/>
      <c r="N10" s="1098"/>
      <c r="O10" s="1099"/>
      <c r="P10" s="1100" t="s">
        <v>472</v>
      </c>
    </row>
    <row r="11" spans="1:16" ht="30.75" customHeight="1" thickBot="1">
      <c r="B11" s="359" t="s">
        <v>66</v>
      </c>
      <c r="C11" s="334">
        <v>1</v>
      </c>
      <c r="D11" s="334">
        <v>2</v>
      </c>
      <c r="E11" s="334">
        <v>3</v>
      </c>
      <c r="F11" s="334">
        <v>4</v>
      </c>
      <c r="G11" s="334">
        <v>5</v>
      </c>
      <c r="H11" s="334">
        <v>6</v>
      </c>
      <c r="I11" s="334">
        <v>7</v>
      </c>
      <c r="J11" s="334">
        <v>8</v>
      </c>
      <c r="K11" s="334">
        <v>9</v>
      </c>
      <c r="L11" s="334">
        <v>10</v>
      </c>
      <c r="M11" s="334">
        <v>11</v>
      </c>
      <c r="N11" s="334">
        <v>12</v>
      </c>
      <c r="O11" s="431" t="s">
        <v>229</v>
      </c>
      <c r="P11" s="1101"/>
    </row>
    <row r="12" spans="1:16" ht="16.5" thickBot="1">
      <c r="B12" s="346" t="s">
        <v>67</v>
      </c>
      <c r="C12" s="221" t="s">
        <v>185</v>
      </c>
      <c r="D12" s="221" t="s">
        <v>187</v>
      </c>
      <c r="E12" s="221" t="s">
        <v>86</v>
      </c>
      <c r="F12" s="221" t="s">
        <v>87</v>
      </c>
      <c r="G12" s="221" t="s">
        <v>89</v>
      </c>
      <c r="H12" s="221" t="s">
        <v>448</v>
      </c>
      <c r="I12" s="221" t="s">
        <v>449</v>
      </c>
      <c r="J12" s="221" t="s">
        <v>452</v>
      </c>
      <c r="K12" s="221" t="s">
        <v>453</v>
      </c>
      <c r="L12" s="221" t="s">
        <v>240</v>
      </c>
      <c r="M12" s="221" t="s">
        <v>459</v>
      </c>
      <c r="N12" s="221" t="s">
        <v>183</v>
      </c>
      <c r="O12" s="421">
        <f>SUM(C12:N12)</f>
        <v>0</v>
      </c>
      <c r="P12" s="1101"/>
    </row>
    <row r="13" spans="1:16" ht="16.5" thickBot="1">
      <c r="B13" s="345" t="s">
        <v>109</v>
      </c>
      <c r="C13" s="221"/>
      <c r="D13" s="221"/>
      <c r="E13" s="221"/>
      <c r="F13" s="221"/>
      <c r="G13" s="221"/>
      <c r="H13" s="221"/>
      <c r="I13" s="221"/>
      <c r="J13" s="221"/>
      <c r="K13" s="221"/>
      <c r="L13" s="221"/>
      <c r="M13" s="221"/>
      <c r="N13" s="221"/>
      <c r="O13" s="421">
        <f t="shared" ref="O13:O29" si="0">SUM(C13:N13)</f>
        <v>0</v>
      </c>
      <c r="P13" s="1101"/>
    </row>
    <row r="14" spans="1:16" ht="16.5" thickBot="1">
      <c r="B14" s="345" t="s">
        <v>110</v>
      </c>
      <c r="C14" s="221"/>
      <c r="D14" s="221"/>
      <c r="E14" s="221"/>
      <c r="F14" s="221"/>
      <c r="G14" s="221"/>
      <c r="H14" s="221"/>
      <c r="I14" s="221"/>
      <c r="J14" s="221"/>
      <c r="K14" s="221"/>
      <c r="L14" s="221"/>
      <c r="M14" s="221"/>
      <c r="N14" s="221"/>
      <c r="O14" s="421">
        <f t="shared" si="0"/>
        <v>0</v>
      </c>
      <c r="P14" s="1101"/>
    </row>
    <row r="15" spans="1:16" ht="16.5" thickBot="1">
      <c r="B15" s="345" t="s">
        <v>111</v>
      </c>
      <c r="C15" s="221"/>
      <c r="D15" s="221"/>
      <c r="E15" s="221"/>
      <c r="F15" s="221"/>
      <c r="G15" s="221"/>
      <c r="H15" s="221"/>
      <c r="I15" s="221"/>
      <c r="J15" s="221"/>
      <c r="K15" s="221"/>
      <c r="L15" s="221"/>
      <c r="M15" s="221"/>
      <c r="N15" s="221"/>
      <c r="O15" s="421">
        <f t="shared" si="0"/>
        <v>0</v>
      </c>
      <c r="P15" s="1101"/>
    </row>
    <row r="16" spans="1:16" ht="16.5" thickBot="1">
      <c r="B16" s="345" t="s">
        <v>112</v>
      </c>
      <c r="C16" s="221"/>
      <c r="D16" s="221"/>
      <c r="E16" s="221"/>
      <c r="F16" s="221"/>
      <c r="G16" s="221"/>
      <c r="H16" s="221"/>
      <c r="I16" s="221"/>
      <c r="J16" s="221"/>
      <c r="K16" s="221"/>
      <c r="L16" s="221"/>
      <c r="M16" s="221"/>
      <c r="N16" s="221"/>
      <c r="O16" s="421">
        <f t="shared" si="0"/>
        <v>0</v>
      </c>
      <c r="P16" s="1101"/>
    </row>
    <row r="17" spans="2:16" ht="16.5" thickBot="1">
      <c r="B17" s="345" t="s">
        <v>113</v>
      </c>
      <c r="C17" s="221"/>
      <c r="D17" s="221"/>
      <c r="E17" s="221"/>
      <c r="F17" s="221"/>
      <c r="G17" s="221"/>
      <c r="H17" s="221"/>
      <c r="I17" s="221"/>
      <c r="J17" s="221"/>
      <c r="K17" s="221"/>
      <c r="L17" s="221"/>
      <c r="M17" s="221"/>
      <c r="N17" s="221"/>
      <c r="O17" s="421">
        <f t="shared" si="0"/>
        <v>0</v>
      </c>
      <c r="P17" s="1101"/>
    </row>
    <row r="18" spans="2:16" ht="16.5" thickBot="1">
      <c r="B18" s="345" t="s">
        <v>114</v>
      </c>
      <c r="C18" s="221"/>
      <c r="D18" s="221"/>
      <c r="E18" s="221"/>
      <c r="F18" s="221"/>
      <c r="G18" s="221"/>
      <c r="H18" s="221"/>
      <c r="I18" s="221"/>
      <c r="J18" s="221"/>
      <c r="K18" s="221"/>
      <c r="L18" s="221"/>
      <c r="M18" s="221"/>
      <c r="N18" s="221"/>
      <c r="O18" s="421">
        <f t="shared" si="0"/>
        <v>0</v>
      </c>
      <c r="P18" s="1101"/>
    </row>
    <row r="19" spans="2:16" ht="16.5" thickBot="1">
      <c r="B19" s="345" t="s">
        <v>115</v>
      </c>
      <c r="C19" s="221"/>
      <c r="D19" s="221"/>
      <c r="E19" s="221"/>
      <c r="F19" s="221"/>
      <c r="G19" s="221"/>
      <c r="H19" s="221"/>
      <c r="I19" s="221"/>
      <c r="J19" s="221"/>
      <c r="K19" s="221"/>
      <c r="L19" s="221"/>
      <c r="M19" s="221"/>
      <c r="N19" s="221"/>
      <c r="O19" s="421">
        <f t="shared" si="0"/>
        <v>0</v>
      </c>
      <c r="P19" s="1101"/>
    </row>
    <row r="20" spans="2:16" ht="16.5" thickBot="1">
      <c r="B20" s="345" t="s">
        <v>116</v>
      </c>
      <c r="C20" s="221">
        <v>5</v>
      </c>
      <c r="D20" s="221">
        <v>5</v>
      </c>
      <c r="E20" s="221">
        <v>5</v>
      </c>
      <c r="F20" s="221">
        <v>5</v>
      </c>
      <c r="G20" s="221">
        <v>5</v>
      </c>
      <c r="H20" s="221">
        <v>5</v>
      </c>
      <c r="I20" s="221">
        <v>5</v>
      </c>
      <c r="J20" s="221">
        <v>5</v>
      </c>
      <c r="K20" s="221">
        <v>5</v>
      </c>
      <c r="L20" s="221">
        <v>5</v>
      </c>
      <c r="M20" s="221">
        <v>5</v>
      </c>
      <c r="N20" s="221">
        <v>5</v>
      </c>
      <c r="O20" s="421">
        <f t="shared" si="0"/>
        <v>60</v>
      </c>
      <c r="P20" s="1102"/>
    </row>
    <row r="21" spans="2:16" ht="16.5" thickBot="1">
      <c r="B21" s="345" t="s">
        <v>117</v>
      </c>
      <c r="C21" s="221"/>
      <c r="D21" s="221"/>
      <c r="E21" s="221"/>
      <c r="F21" s="221"/>
      <c r="G21" s="221"/>
      <c r="H21" s="221"/>
      <c r="I21" s="221"/>
      <c r="J21" s="221"/>
      <c r="K21" s="221"/>
      <c r="L21" s="221"/>
      <c r="M21" s="221"/>
      <c r="N21" s="221"/>
      <c r="O21" s="421">
        <f t="shared" si="0"/>
        <v>0</v>
      </c>
      <c r="P21" s="427"/>
    </row>
    <row r="22" spans="2:16" ht="16.5" thickBot="1">
      <c r="B22" s="472" t="s">
        <v>118</v>
      </c>
      <c r="C22" s="222"/>
      <c r="D22" s="222"/>
      <c r="E22" s="222"/>
      <c r="F22" s="222"/>
      <c r="G22" s="222"/>
      <c r="H22" s="222"/>
      <c r="I22" s="222"/>
      <c r="J22" s="222"/>
      <c r="K22" s="222"/>
      <c r="L22" s="222"/>
      <c r="M22" s="222"/>
      <c r="N22" s="222"/>
      <c r="O22" s="432">
        <f t="shared" si="0"/>
        <v>0</v>
      </c>
      <c r="P22" s="428"/>
    </row>
    <row r="23" spans="2:16" ht="16.5" customHeight="1" thickBot="1">
      <c r="B23" s="473" t="s">
        <v>119</v>
      </c>
      <c r="C23" s="223"/>
      <c r="D23" s="223"/>
      <c r="E23" s="223"/>
      <c r="F23" s="223"/>
      <c r="G23" s="223"/>
      <c r="H23" s="223"/>
      <c r="I23" s="223"/>
      <c r="J23" s="223"/>
      <c r="K23" s="223"/>
      <c r="L23" s="223"/>
      <c r="M23" s="223"/>
      <c r="N23" s="223"/>
      <c r="O23" s="433">
        <f t="shared" si="0"/>
        <v>0</v>
      </c>
      <c r="P23" s="428"/>
    </row>
    <row r="24" spans="2:16" ht="16.5" thickBot="1">
      <c r="B24" s="473" t="s">
        <v>120</v>
      </c>
      <c r="C24" s="223"/>
      <c r="D24" s="223"/>
      <c r="E24" s="223"/>
      <c r="F24" s="223"/>
      <c r="G24" s="223"/>
      <c r="H24" s="223"/>
      <c r="I24" s="223"/>
      <c r="J24" s="223"/>
      <c r="K24" s="223"/>
      <c r="L24" s="223"/>
      <c r="M24" s="223"/>
      <c r="N24" s="223"/>
      <c r="O24" s="433">
        <f t="shared" si="0"/>
        <v>0</v>
      </c>
      <c r="P24" s="428"/>
    </row>
    <row r="25" spans="2:16" ht="16.5" thickBot="1">
      <c r="B25" s="345" t="s">
        <v>121</v>
      </c>
      <c r="C25" s="221"/>
      <c r="D25" s="221"/>
      <c r="E25" s="221"/>
      <c r="F25" s="221"/>
      <c r="G25" s="221"/>
      <c r="H25" s="221"/>
      <c r="I25" s="221"/>
      <c r="J25" s="221"/>
      <c r="K25" s="221"/>
      <c r="L25" s="221"/>
      <c r="M25" s="221"/>
      <c r="N25" s="221"/>
      <c r="O25" s="421">
        <f t="shared" si="0"/>
        <v>0</v>
      </c>
      <c r="P25" s="428"/>
    </row>
    <row r="26" spans="2:16" ht="16.5" thickBot="1">
      <c r="B26" s="345" t="s">
        <v>122</v>
      </c>
      <c r="C26" s="221"/>
      <c r="D26" s="221"/>
      <c r="E26" s="221"/>
      <c r="F26" s="221"/>
      <c r="G26" s="221"/>
      <c r="H26" s="221"/>
      <c r="I26" s="221"/>
      <c r="J26" s="221"/>
      <c r="K26" s="221"/>
      <c r="L26" s="221"/>
      <c r="M26" s="221"/>
      <c r="N26" s="221"/>
      <c r="O26" s="421">
        <f t="shared" si="0"/>
        <v>0</v>
      </c>
      <c r="P26" s="428"/>
    </row>
    <row r="27" spans="2:16" ht="16.5" thickBot="1">
      <c r="B27" s="345" t="s">
        <v>123</v>
      </c>
      <c r="C27" s="221"/>
      <c r="D27" s="221"/>
      <c r="E27" s="221"/>
      <c r="F27" s="221"/>
      <c r="G27" s="221"/>
      <c r="H27" s="221"/>
      <c r="I27" s="221"/>
      <c r="J27" s="221"/>
      <c r="K27" s="221"/>
      <c r="L27" s="221"/>
      <c r="M27" s="221"/>
      <c r="N27" s="221"/>
      <c r="O27" s="421">
        <f t="shared" si="0"/>
        <v>0</v>
      </c>
      <c r="P27" s="428"/>
    </row>
    <row r="28" spans="2:16" ht="16.5" thickBot="1">
      <c r="B28" s="345" t="s">
        <v>748</v>
      </c>
      <c r="C28" s="221"/>
      <c r="D28" s="221"/>
      <c r="E28" s="221">
        <v>6</v>
      </c>
      <c r="F28" s="221"/>
      <c r="G28" s="221"/>
      <c r="H28" s="221"/>
      <c r="I28" s="221"/>
      <c r="J28" s="221"/>
      <c r="K28" s="221"/>
      <c r="L28" s="221"/>
      <c r="M28" s="221"/>
      <c r="N28" s="221"/>
      <c r="O28" s="421">
        <f t="shared" si="0"/>
        <v>6</v>
      </c>
      <c r="P28" s="428"/>
    </row>
    <row r="29" spans="2:16" ht="23.25" customHeight="1" thickBot="1">
      <c r="B29" s="474" t="s">
        <v>387</v>
      </c>
      <c r="C29" s="224">
        <f>SUM(C13:C28)</f>
        <v>5</v>
      </c>
      <c r="D29" s="224">
        <f t="shared" ref="D29:N29" si="1">SUM(D13:D28)</f>
        <v>5</v>
      </c>
      <c r="E29" s="224">
        <f t="shared" si="1"/>
        <v>11</v>
      </c>
      <c r="F29" s="224">
        <f t="shared" si="1"/>
        <v>5</v>
      </c>
      <c r="G29" s="224">
        <f t="shared" si="1"/>
        <v>5</v>
      </c>
      <c r="H29" s="224">
        <f t="shared" si="1"/>
        <v>5</v>
      </c>
      <c r="I29" s="224">
        <f t="shared" si="1"/>
        <v>5</v>
      </c>
      <c r="J29" s="224">
        <f t="shared" si="1"/>
        <v>5</v>
      </c>
      <c r="K29" s="224">
        <f t="shared" si="1"/>
        <v>5</v>
      </c>
      <c r="L29" s="224">
        <f t="shared" si="1"/>
        <v>5</v>
      </c>
      <c r="M29" s="224">
        <f t="shared" si="1"/>
        <v>5</v>
      </c>
      <c r="N29" s="224">
        <f t="shared" si="1"/>
        <v>5</v>
      </c>
      <c r="O29" s="434">
        <f t="shared" si="0"/>
        <v>66</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255</v>
      </c>
      <c r="C31" s="36"/>
      <c r="D31" s="36"/>
      <c r="E31" s="36"/>
      <c r="F31" s="36"/>
      <c r="G31" s="36"/>
      <c r="H31" s="36"/>
      <c r="I31" s="36"/>
      <c r="J31" s="127"/>
      <c r="K31" s="127"/>
      <c r="L31" s="127"/>
      <c r="M31" s="36"/>
      <c r="N31" s="36"/>
      <c r="O31" s="411"/>
      <c r="P31" s="128"/>
    </row>
    <row r="32" spans="2:16" ht="30.75" customHeight="1" thickBot="1">
      <c r="B32" s="436" t="s">
        <v>4</v>
      </c>
      <c r="C32" s="1034" t="s">
        <v>5</v>
      </c>
      <c r="D32" s="870"/>
      <c r="E32" s="870"/>
      <c r="F32" s="870"/>
      <c r="G32" s="870"/>
      <c r="H32" s="870"/>
      <c r="I32" s="870"/>
      <c r="J32" s="870"/>
      <c r="K32" s="870"/>
      <c r="L32" s="870"/>
      <c r="M32" s="870"/>
      <c r="N32" s="870"/>
      <c r="O32" s="871"/>
      <c r="P32" s="1103" t="s">
        <v>311</v>
      </c>
    </row>
    <row r="33" spans="2:16" ht="188.25" customHeight="1" thickBot="1">
      <c r="B33" s="437" t="s">
        <v>719</v>
      </c>
      <c r="C33" s="1109" t="s">
        <v>720</v>
      </c>
      <c r="D33" s="1110"/>
      <c r="E33" s="1110"/>
      <c r="F33" s="1110"/>
      <c r="G33" s="1110"/>
      <c r="H33" s="1110"/>
      <c r="I33" s="1110"/>
      <c r="J33" s="1110"/>
      <c r="K33" s="1110"/>
      <c r="L33" s="1110"/>
      <c r="M33" s="1110"/>
      <c r="N33" s="1110"/>
      <c r="O33" s="1111"/>
      <c r="P33" s="1104"/>
    </row>
    <row r="34" spans="2:16" ht="188.25" customHeight="1" thickBot="1">
      <c r="B34" s="437" t="s">
        <v>721</v>
      </c>
      <c r="C34" s="1109" t="s">
        <v>722</v>
      </c>
      <c r="D34" s="1110"/>
      <c r="E34" s="1110"/>
      <c r="F34" s="1110"/>
      <c r="G34" s="1110"/>
      <c r="H34" s="1110"/>
      <c r="I34" s="1110"/>
      <c r="J34" s="1110"/>
      <c r="K34" s="1110"/>
      <c r="L34" s="1110"/>
      <c r="M34" s="1110"/>
      <c r="N34" s="1110"/>
      <c r="O34" s="1111"/>
      <c r="P34" s="1105"/>
    </row>
    <row r="35" spans="2:16" ht="188.25" customHeight="1" thickBot="1">
      <c r="B35" s="438" t="s">
        <v>727</v>
      </c>
      <c r="C35" s="1106" t="s">
        <v>728</v>
      </c>
      <c r="D35" s="1107"/>
      <c r="E35" s="1107"/>
      <c r="F35" s="1107"/>
      <c r="G35" s="1107"/>
      <c r="H35" s="1107"/>
      <c r="I35" s="1107"/>
      <c r="J35" s="1107"/>
      <c r="K35" s="1107"/>
      <c r="L35" s="1107"/>
      <c r="M35" s="1107"/>
      <c r="N35" s="1107"/>
      <c r="O35" s="1108"/>
      <c r="P35" s="426"/>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59" priority="4">
      <formula>C4&gt;A4</formula>
    </cfRule>
  </conditionalFormatting>
  <conditionalFormatting sqref="D4">
    <cfRule type="expression" dxfId="58" priority="3">
      <formula>C4&gt;A4</formula>
    </cfRule>
  </conditionalFormatting>
  <conditionalFormatting sqref="D6">
    <cfRule type="expression" dxfId="57" priority="2">
      <formula>C6&gt;A6</formula>
    </cfRule>
  </conditionalFormatting>
  <conditionalFormatting sqref="D6">
    <cfRule type="expression" dxfId="56"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view="pageBreakPreview" zoomScale="60" zoomScaleNormal="60" workbookViewId="0">
      <pane xSplit="2" ySplit="4" topLeftCell="C41" activePane="bottomRight" state="frozen"/>
      <selection activeCell="B8" sqref="B8"/>
      <selection pane="topRight" activeCell="B8" sqref="B8"/>
      <selection pane="bottomLeft" activeCell="B8" sqref="B8"/>
      <selection pane="bottomRight" activeCell="M25" sqref="M2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2" t="s">
        <v>250</v>
      </c>
      <c r="C1" s="298"/>
      <c r="D1" s="298"/>
      <c r="E1" s="298"/>
      <c r="F1" s="298"/>
      <c r="G1" s="298"/>
      <c r="H1" s="298"/>
      <c r="I1" s="298"/>
      <c r="J1" s="298"/>
      <c r="K1" s="298"/>
      <c r="L1" s="298"/>
      <c r="M1" s="298"/>
      <c r="N1" s="298"/>
      <c r="O1" s="299"/>
      <c r="P1" s="130" t="s">
        <v>207</v>
      </c>
    </row>
    <row r="2" spans="1:16" ht="20.25" customHeight="1" thickBot="1">
      <c r="A2" s="5"/>
      <c r="B2" s="326" t="s">
        <v>647</v>
      </c>
      <c r="C2" s="327">
        <v>1</v>
      </c>
      <c r="D2" s="327">
        <v>2</v>
      </c>
      <c r="E2" s="327">
        <v>3</v>
      </c>
      <c r="F2" s="327">
        <v>4</v>
      </c>
      <c r="G2" s="328">
        <v>5</v>
      </c>
      <c r="H2" s="328">
        <v>6</v>
      </c>
      <c r="I2" s="328">
        <v>7</v>
      </c>
      <c r="J2" s="328">
        <v>8</v>
      </c>
      <c r="K2" s="328">
        <v>9</v>
      </c>
      <c r="L2" s="328">
        <v>10</v>
      </c>
      <c r="M2" s="328">
        <v>11</v>
      </c>
      <c r="N2" s="328">
        <v>12</v>
      </c>
      <c r="O2" s="329" t="s">
        <v>106</v>
      </c>
      <c r="P2" s="129" t="s">
        <v>287</v>
      </c>
    </row>
    <row r="3" spans="1:16" ht="24.75" customHeight="1" thickBot="1">
      <c r="A3" s="5"/>
      <c r="B3" s="315" t="s">
        <v>314</v>
      </c>
      <c r="C3" s="330" t="s">
        <v>125</v>
      </c>
      <c r="D3" s="330" t="s">
        <v>126</v>
      </c>
      <c r="E3" s="330" t="s">
        <v>127</v>
      </c>
      <c r="F3" s="330" t="s">
        <v>128</v>
      </c>
      <c r="G3" s="330" t="s">
        <v>129</v>
      </c>
      <c r="H3" s="330" t="s">
        <v>130</v>
      </c>
      <c r="I3" s="330" t="s">
        <v>131</v>
      </c>
      <c r="J3" s="330" t="s">
        <v>214</v>
      </c>
      <c r="K3" s="330" t="s">
        <v>313</v>
      </c>
      <c r="L3" s="330" t="s">
        <v>215</v>
      </c>
      <c r="M3" s="330" t="s">
        <v>216</v>
      </c>
      <c r="N3" s="330" t="s">
        <v>217</v>
      </c>
      <c r="O3" s="331" t="s">
        <v>230</v>
      </c>
      <c r="P3" s="1038" t="s">
        <v>525</v>
      </c>
    </row>
    <row r="4" spans="1:16" ht="28.5" customHeight="1" thickBot="1">
      <c r="A4" s="5"/>
      <c r="B4" s="18" t="s">
        <v>132</v>
      </c>
      <c r="C4" s="323"/>
      <c r="D4" s="323"/>
      <c r="E4" s="323"/>
      <c r="F4" s="323"/>
      <c r="G4" s="324"/>
      <c r="H4" s="324"/>
      <c r="I4" s="324"/>
      <c r="J4" s="324"/>
      <c r="K4" s="324"/>
      <c r="L4" s="324"/>
      <c r="M4" s="324"/>
      <c r="N4" s="324"/>
      <c r="O4" s="325"/>
      <c r="P4" s="1115"/>
    </row>
    <row r="5" spans="1:16" ht="27.75" customHeight="1">
      <c r="A5" s="5"/>
      <c r="B5" s="595" t="s">
        <v>133</v>
      </c>
      <c r="C5" s="606"/>
      <c r="D5" s="301">
        <f t="shared" ref="D5:N5" si="0">C71</f>
        <v>0</v>
      </c>
      <c r="E5" s="301">
        <f t="shared" si="0"/>
        <v>0</v>
      </c>
      <c r="F5" s="301">
        <f t="shared" si="0"/>
        <v>0</v>
      </c>
      <c r="G5" s="301">
        <f t="shared" si="0"/>
        <v>0</v>
      </c>
      <c r="H5" s="301">
        <f t="shared" si="0"/>
        <v>0</v>
      </c>
      <c r="I5" s="301">
        <f t="shared" si="0"/>
        <v>0</v>
      </c>
      <c r="J5" s="301">
        <f t="shared" si="0"/>
        <v>0</v>
      </c>
      <c r="K5" s="301">
        <f t="shared" si="0"/>
        <v>0</v>
      </c>
      <c r="L5" s="301">
        <f t="shared" si="0"/>
        <v>0</v>
      </c>
      <c r="M5" s="301">
        <f t="shared" si="0"/>
        <v>0</v>
      </c>
      <c r="N5" s="301">
        <f t="shared" si="0"/>
        <v>1148500</v>
      </c>
      <c r="O5" s="546"/>
      <c r="P5" s="741" t="s">
        <v>509</v>
      </c>
    </row>
    <row r="6" spans="1:16" ht="27" customHeight="1">
      <c r="A6" s="5"/>
      <c r="B6" s="596" t="s">
        <v>134</v>
      </c>
      <c r="C6" s="588"/>
      <c r="D6" s="300"/>
      <c r="E6" s="300"/>
      <c r="F6" s="300"/>
      <c r="G6" s="300"/>
      <c r="H6" s="300"/>
      <c r="I6" s="300"/>
      <c r="J6" s="300"/>
      <c r="K6" s="306"/>
      <c r="L6" s="306"/>
      <c r="M6" s="306">
        <v>350000</v>
      </c>
      <c r="N6" s="306">
        <v>400000</v>
      </c>
      <c r="O6" s="303">
        <f t="shared" ref="O6:O12" si="1">SUM(C6:N6)</f>
        <v>750000</v>
      </c>
      <c r="P6" s="742"/>
    </row>
    <row r="7" spans="1:16" ht="32.25" customHeight="1">
      <c r="A7" s="5"/>
      <c r="B7" s="503" t="s">
        <v>135</v>
      </c>
      <c r="C7" s="588"/>
      <c r="D7" s="300"/>
      <c r="E7" s="300"/>
      <c r="F7" s="300"/>
      <c r="G7" s="300"/>
      <c r="H7" s="300"/>
      <c r="I7" s="300"/>
      <c r="J7" s="300"/>
      <c r="K7" s="306"/>
      <c r="L7" s="306"/>
      <c r="M7" s="306"/>
      <c r="N7" s="306"/>
      <c r="O7" s="303">
        <f t="shared" si="1"/>
        <v>0</v>
      </c>
      <c r="P7" s="742"/>
    </row>
    <row r="8" spans="1:16" ht="32.25" customHeight="1">
      <c r="A8" s="5"/>
      <c r="B8" s="503" t="s">
        <v>136</v>
      </c>
      <c r="C8" s="588"/>
      <c r="D8" s="300"/>
      <c r="E8" s="300"/>
      <c r="F8" s="300"/>
      <c r="G8" s="300"/>
      <c r="H8" s="300"/>
      <c r="I8" s="300"/>
      <c r="J8" s="300"/>
      <c r="K8" s="306"/>
      <c r="L8" s="306"/>
      <c r="M8" s="306">
        <v>1500000</v>
      </c>
      <c r="N8" s="306"/>
      <c r="O8" s="303">
        <f t="shared" si="1"/>
        <v>1500000</v>
      </c>
      <c r="P8" s="742"/>
    </row>
    <row r="9" spans="1:16" ht="32.25" customHeight="1">
      <c r="A9" s="5"/>
      <c r="B9" s="503" t="s">
        <v>137</v>
      </c>
      <c r="C9" s="588"/>
      <c r="D9" s="300"/>
      <c r="E9" s="300"/>
      <c r="F9" s="300"/>
      <c r="G9" s="300"/>
      <c r="H9" s="300"/>
      <c r="I9" s="300"/>
      <c r="J9" s="300"/>
      <c r="K9" s="306"/>
      <c r="L9" s="306"/>
      <c r="M9" s="306"/>
      <c r="N9" s="306"/>
      <c r="O9" s="303">
        <f t="shared" si="1"/>
        <v>0</v>
      </c>
      <c r="P9" s="742"/>
    </row>
    <row r="10" spans="1:16" ht="32.25" customHeight="1">
      <c r="A10" s="5"/>
      <c r="B10" s="503" t="s">
        <v>138</v>
      </c>
      <c r="C10" s="588"/>
      <c r="D10" s="300"/>
      <c r="E10" s="300"/>
      <c r="F10" s="300"/>
      <c r="G10" s="300"/>
      <c r="H10" s="300"/>
      <c r="I10" s="300"/>
      <c r="J10" s="300"/>
      <c r="K10" s="306"/>
      <c r="L10" s="306"/>
      <c r="M10" s="306">
        <v>333333</v>
      </c>
      <c r="N10" s="306"/>
      <c r="O10" s="303">
        <f t="shared" si="1"/>
        <v>333333</v>
      </c>
      <c r="P10" s="742"/>
    </row>
    <row r="11" spans="1:16" ht="32.25" customHeight="1" thickBot="1">
      <c r="A11" s="5"/>
      <c r="B11" s="596" t="s">
        <v>139</v>
      </c>
      <c r="C11" s="609"/>
      <c r="D11" s="304"/>
      <c r="E11" s="304"/>
      <c r="F11" s="304"/>
      <c r="G11" s="304"/>
      <c r="H11" s="304"/>
      <c r="I11" s="304"/>
      <c r="J11" s="304"/>
      <c r="K11" s="304"/>
      <c r="L11" s="304"/>
      <c r="M11" s="304"/>
      <c r="N11" s="304"/>
      <c r="O11" s="305">
        <f t="shared" si="1"/>
        <v>0</v>
      </c>
      <c r="P11" s="742"/>
    </row>
    <row r="12" spans="1:16" ht="32.25" customHeight="1" thickBot="1">
      <c r="A12" s="5"/>
      <c r="B12" s="597" t="s">
        <v>140</v>
      </c>
      <c r="C12" s="608">
        <f>SUM(C6:C11)</f>
        <v>0</v>
      </c>
      <c r="D12" s="312">
        <f t="shared" ref="D12:N12" si="2">SUM(D6:D11)</f>
        <v>0</v>
      </c>
      <c r="E12" s="312">
        <f t="shared" si="2"/>
        <v>0</v>
      </c>
      <c r="F12" s="312">
        <f t="shared" si="2"/>
        <v>0</v>
      </c>
      <c r="G12" s="312">
        <f t="shared" si="2"/>
        <v>0</v>
      </c>
      <c r="H12" s="312">
        <f t="shared" si="2"/>
        <v>0</v>
      </c>
      <c r="I12" s="312">
        <f t="shared" si="2"/>
        <v>0</v>
      </c>
      <c r="J12" s="312">
        <f t="shared" si="2"/>
        <v>0</v>
      </c>
      <c r="K12" s="312">
        <f t="shared" si="2"/>
        <v>0</v>
      </c>
      <c r="L12" s="312">
        <f t="shared" si="2"/>
        <v>0</v>
      </c>
      <c r="M12" s="312">
        <f t="shared" si="2"/>
        <v>2183333</v>
      </c>
      <c r="N12" s="312">
        <f t="shared" si="2"/>
        <v>400000</v>
      </c>
      <c r="O12" s="313">
        <f t="shared" si="1"/>
        <v>2583333</v>
      </c>
      <c r="P12" s="742"/>
    </row>
    <row r="13" spans="1:16" ht="14.25" customHeight="1" thickBot="1">
      <c r="A13" s="5"/>
      <c r="B13" s="598"/>
      <c r="C13" s="1117"/>
      <c r="D13" s="1118"/>
      <c r="E13" s="1118"/>
      <c r="F13" s="1118"/>
      <c r="G13" s="1118"/>
      <c r="H13" s="1118"/>
      <c r="I13" s="1118"/>
      <c r="J13" s="1118"/>
      <c r="K13" s="1118"/>
      <c r="L13" s="1118"/>
      <c r="M13" s="1118"/>
      <c r="N13" s="1118"/>
      <c r="O13" s="1119"/>
      <c r="P13" s="742"/>
    </row>
    <row r="14" spans="1:16" ht="32.25" customHeight="1" thickBot="1">
      <c r="A14" s="5"/>
      <c r="B14" s="318" t="s">
        <v>141</v>
      </c>
      <c r="C14" s="318"/>
      <c r="D14" s="319"/>
      <c r="E14" s="319"/>
      <c r="F14" s="319"/>
      <c r="G14" s="320"/>
      <c r="H14" s="320"/>
      <c r="I14" s="320"/>
      <c r="J14" s="320"/>
      <c r="K14" s="320"/>
      <c r="L14" s="320"/>
      <c r="M14" s="320"/>
      <c r="N14" s="320"/>
      <c r="O14" s="321"/>
      <c r="P14" s="742"/>
    </row>
    <row r="15" spans="1:16" ht="32.25" customHeight="1" thickBot="1">
      <c r="A15" s="5"/>
      <c r="B15" s="599" t="s">
        <v>473</v>
      </c>
      <c r="C15" s="612">
        <f>SUM(C17,C20,C23,C24,C27,C28,C29,C32,C35,C36,C37,C38,C39,C44)</f>
        <v>0</v>
      </c>
      <c r="D15" s="613">
        <f>SUM(D17,D20,D23,D24,D27,D28,D29,D32,D35,D36,D37,D38,D39,D44)</f>
        <v>0</v>
      </c>
      <c r="E15" s="613">
        <f t="shared" ref="E15:N15" si="3">SUM(E17,E20,E23,E24,E27,E28,E29,E32,E35,E36,E37,E38,E39,E44)</f>
        <v>0</v>
      </c>
      <c r="F15" s="613">
        <f t="shared" si="3"/>
        <v>0</v>
      </c>
      <c r="G15" s="613">
        <f t="shared" si="3"/>
        <v>0</v>
      </c>
      <c r="H15" s="613">
        <f t="shared" si="3"/>
        <v>0</v>
      </c>
      <c r="I15" s="613">
        <f t="shared" si="3"/>
        <v>0</v>
      </c>
      <c r="J15" s="613">
        <f t="shared" si="3"/>
        <v>0</v>
      </c>
      <c r="K15" s="613">
        <f t="shared" si="3"/>
        <v>0</v>
      </c>
      <c r="L15" s="613">
        <f t="shared" si="3"/>
        <v>0</v>
      </c>
      <c r="M15" s="613">
        <f t="shared" si="3"/>
        <v>791833</v>
      </c>
      <c r="N15" s="613">
        <f t="shared" si="3"/>
        <v>230500</v>
      </c>
      <c r="O15" s="614">
        <f t="shared" ref="O15:O70" si="4">SUM(C15:N15)</f>
        <v>1022333</v>
      </c>
      <c r="P15" s="742"/>
    </row>
    <row r="16" spans="1:16" ht="39" customHeight="1" thickBot="1">
      <c r="A16" s="5"/>
      <c r="B16" s="594" t="s">
        <v>500</v>
      </c>
      <c r="C16" s="608">
        <f>C15*0.9</f>
        <v>0</v>
      </c>
      <c r="D16" s="312">
        <f t="shared" ref="D16:N16" si="5">D15*0.9</f>
        <v>0</v>
      </c>
      <c r="E16" s="312">
        <f t="shared" si="5"/>
        <v>0</v>
      </c>
      <c r="F16" s="312">
        <f t="shared" si="5"/>
        <v>0</v>
      </c>
      <c r="G16" s="312">
        <f t="shared" si="5"/>
        <v>0</v>
      </c>
      <c r="H16" s="312">
        <f t="shared" si="5"/>
        <v>0</v>
      </c>
      <c r="I16" s="312">
        <f t="shared" si="5"/>
        <v>0</v>
      </c>
      <c r="J16" s="312">
        <f t="shared" si="5"/>
        <v>0</v>
      </c>
      <c r="K16" s="312">
        <f t="shared" si="5"/>
        <v>0</v>
      </c>
      <c r="L16" s="312">
        <f t="shared" si="5"/>
        <v>0</v>
      </c>
      <c r="M16" s="312">
        <f t="shared" si="5"/>
        <v>712649.70000000007</v>
      </c>
      <c r="N16" s="312">
        <f t="shared" si="5"/>
        <v>207450</v>
      </c>
      <c r="O16" s="313">
        <f t="shared" si="4"/>
        <v>920099.70000000007</v>
      </c>
      <c r="P16" s="742"/>
    </row>
    <row r="17" spans="1:16" ht="48.95" customHeight="1" thickBot="1">
      <c r="A17" s="5"/>
      <c r="B17" s="631" t="s">
        <v>474</v>
      </c>
      <c r="C17" s="610">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89">
        <f t="shared" si="4"/>
        <v>0</v>
      </c>
      <c r="P17" s="743"/>
    </row>
    <row r="18" spans="1:16" ht="48.95" customHeight="1">
      <c r="A18" s="5"/>
      <c r="B18" s="632" t="s">
        <v>475</v>
      </c>
      <c r="C18" s="588"/>
      <c r="D18" s="300"/>
      <c r="E18" s="300"/>
      <c r="F18" s="300"/>
      <c r="G18" s="300"/>
      <c r="H18" s="300"/>
      <c r="I18" s="300"/>
      <c r="J18" s="300"/>
      <c r="K18" s="300"/>
      <c r="L18" s="300"/>
      <c r="M18" s="300"/>
      <c r="N18" s="300"/>
      <c r="O18" s="490">
        <f t="shared" si="4"/>
        <v>0</v>
      </c>
      <c r="P18" s="307" t="s">
        <v>520</v>
      </c>
    </row>
    <row r="19" spans="1:16" ht="48.95" customHeight="1">
      <c r="A19" s="5"/>
      <c r="B19" s="632" t="s">
        <v>148</v>
      </c>
      <c r="C19" s="588"/>
      <c r="D19" s="300"/>
      <c r="E19" s="300"/>
      <c r="F19" s="300"/>
      <c r="G19" s="300"/>
      <c r="H19" s="300"/>
      <c r="I19" s="300"/>
      <c r="J19" s="300"/>
      <c r="K19" s="300"/>
      <c r="L19" s="300"/>
      <c r="M19" s="300"/>
      <c r="N19" s="300"/>
      <c r="O19" s="490">
        <f t="shared" si="4"/>
        <v>0</v>
      </c>
      <c r="P19" s="307" t="s">
        <v>521</v>
      </c>
    </row>
    <row r="20" spans="1:16" ht="69.75" customHeight="1">
      <c r="A20" s="5"/>
      <c r="B20" s="631" t="s">
        <v>476</v>
      </c>
      <c r="C20" s="588">
        <f>SUM(C21:C22)</f>
        <v>0</v>
      </c>
      <c r="D20" s="300">
        <f t="shared" ref="D20:N20" si="7">SUM(D21:D22)</f>
        <v>0</v>
      </c>
      <c r="E20" s="300">
        <f t="shared" si="7"/>
        <v>0</v>
      </c>
      <c r="F20" s="300">
        <f t="shared" si="7"/>
        <v>0</v>
      </c>
      <c r="G20" s="300">
        <f t="shared" si="7"/>
        <v>0</v>
      </c>
      <c r="H20" s="300">
        <f t="shared" si="7"/>
        <v>0</v>
      </c>
      <c r="I20" s="300">
        <f t="shared" si="7"/>
        <v>0</v>
      </c>
      <c r="J20" s="300">
        <f t="shared" si="7"/>
        <v>0</v>
      </c>
      <c r="K20" s="300">
        <f t="shared" si="7"/>
        <v>0</v>
      </c>
      <c r="L20" s="300">
        <f t="shared" si="7"/>
        <v>0</v>
      </c>
      <c r="M20" s="300">
        <f t="shared" si="7"/>
        <v>180500</v>
      </c>
      <c r="N20" s="300">
        <f t="shared" si="7"/>
        <v>180500</v>
      </c>
      <c r="O20" s="490">
        <f t="shared" si="4"/>
        <v>361000</v>
      </c>
      <c r="P20" s="1122" t="s">
        <v>522</v>
      </c>
    </row>
    <row r="21" spans="1:16" ht="48.95" customHeight="1">
      <c r="A21" s="5"/>
      <c r="B21" s="632" t="s">
        <v>477</v>
      </c>
      <c r="C21" s="588"/>
      <c r="D21" s="300"/>
      <c r="E21" s="300"/>
      <c r="F21" s="300"/>
      <c r="G21" s="300"/>
      <c r="H21" s="300"/>
      <c r="I21" s="300"/>
      <c r="J21" s="300"/>
      <c r="K21" s="300"/>
      <c r="L21" s="300"/>
      <c r="M21" s="300">
        <v>180500</v>
      </c>
      <c r="N21" s="300">
        <v>180500</v>
      </c>
      <c r="O21" s="490">
        <f t="shared" si="4"/>
        <v>361000</v>
      </c>
      <c r="P21" s="1122"/>
    </row>
    <row r="22" spans="1:16" ht="48.95" customHeight="1">
      <c r="A22" s="5"/>
      <c r="B22" s="632" t="s">
        <v>478</v>
      </c>
      <c r="C22" s="588"/>
      <c r="D22" s="300"/>
      <c r="E22" s="300"/>
      <c r="F22" s="300"/>
      <c r="G22" s="300"/>
      <c r="H22" s="300"/>
      <c r="I22" s="300"/>
      <c r="J22" s="300"/>
      <c r="K22" s="300"/>
      <c r="L22" s="300"/>
      <c r="M22" s="300"/>
      <c r="N22" s="300"/>
      <c r="O22" s="490">
        <f t="shared" si="4"/>
        <v>0</v>
      </c>
      <c r="P22" s="1122"/>
    </row>
    <row r="23" spans="1:16" ht="97.5" customHeight="1">
      <c r="A23" s="5"/>
      <c r="B23" s="631" t="s">
        <v>479</v>
      </c>
      <c r="C23" s="588"/>
      <c r="D23" s="300"/>
      <c r="E23" s="300"/>
      <c r="F23" s="300"/>
      <c r="G23" s="300"/>
      <c r="H23" s="300"/>
      <c r="I23" s="300"/>
      <c r="J23" s="300"/>
      <c r="K23" s="300"/>
      <c r="L23" s="300"/>
      <c r="M23" s="300"/>
      <c r="N23" s="300"/>
      <c r="O23" s="490">
        <f t="shared" si="4"/>
        <v>0</v>
      </c>
      <c r="P23" s="1122"/>
    </row>
    <row r="24" spans="1:16" ht="48.95" customHeight="1">
      <c r="A24" s="5"/>
      <c r="B24" s="631" t="s">
        <v>480</v>
      </c>
      <c r="C24" s="588">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561333</v>
      </c>
      <c r="N24" s="300">
        <f t="shared" si="8"/>
        <v>0</v>
      </c>
      <c r="O24" s="490">
        <f t="shared" si="4"/>
        <v>561333</v>
      </c>
      <c r="P24" s="307"/>
    </row>
    <row r="25" spans="1:16" ht="48.95" customHeight="1">
      <c r="A25" s="5"/>
      <c r="B25" s="632" t="s">
        <v>481</v>
      </c>
      <c r="C25" s="588"/>
      <c r="D25" s="300"/>
      <c r="E25" s="300"/>
      <c r="F25" s="300"/>
      <c r="G25" s="300"/>
      <c r="H25" s="300"/>
      <c r="I25" s="300"/>
      <c r="J25" s="300"/>
      <c r="K25" s="300"/>
      <c r="L25" s="300"/>
      <c r="M25" s="300">
        <v>528788</v>
      </c>
      <c r="N25" s="300"/>
      <c r="O25" s="490">
        <f t="shared" si="4"/>
        <v>528788</v>
      </c>
      <c r="P25" s="307" t="s">
        <v>523</v>
      </c>
    </row>
    <row r="26" spans="1:16" ht="48.95" customHeight="1">
      <c r="A26" s="5"/>
      <c r="B26" s="632" t="s">
        <v>482</v>
      </c>
      <c r="C26" s="588"/>
      <c r="D26" s="300"/>
      <c r="E26" s="300"/>
      <c r="F26" s="300"/>
      <c r="G26" s="300"/>
      <c r="H26" s="300"/>
      <c r="I26" s="300"/>
      <c r="J26" s="300"/>
      <c r="K26" s="300"/>
      <c r="L26" s="300"/>
      <c r="M26" s="300">
        <v>32545</v>
      </c>
      <c r="N26" s="300"/>
      <c r="O26" s="490">
        <f t="shared" si="4"/>
        <v>32545</v>
      </c>
      <c r="P26" s="307" t="s">
        <v>510</v>
      </c>
    </row>
    <row r="27" spans="1:16" ht="69.75" customHeight="1">
      <c r="A27" s="5"/>
      <c r="B27" s="631" t="s">
        <v>483</v>
      </c>
      <c r="C27" s="588"/>
      <c r="D27" s="300"/>
      <c r="E27" s="300"/>
      <c r="F27" s="300"/>
      <c r="G27" s="300"/>
      <c r="H27" s="300"/>
      <c r="I27" s="300"/>
      <c r="J27" s="300"/>
      <c r="K27" s="300"/>
      <c r="L27" s="300"/>
      <c r="M27" s="300"/>
      <c r="N27" s="300"/>
      <c r="O27" s="490">
        <f t="shared" si="4"/>
        <v>0</v>
      </c>
      <c r="P27" s="307"/>
    </row>
    <row r="28" spans="1:16" ht="78.75" customHeight="1">
      <c r="A28" s="5"/>
      <c r="B28" s="631" t="s">
        <v>484</v>
      </c>
      <c r="C28" s="588"/>
      <c r="D28" s="300"/>
      <c r="E28" s="300"/>
      <c r="F28" s="300"/>
      <c r="G28" s="300"/>
      <c r="H28" s="300"/>
      <c r="I28" s="300"/>
      <c r="J28" s="300"/>
      <c r="K28" s="300"/>
      <c r="L28" s="300"/>
      <c r="M28" s="300">
        <v>50000</v>
      </c>
      <c r="N28" s="300">
        <v>50000</v>
      </c>
      <c r="O28" s="490">
        <f t="shared" si="4"/>
        <v>100000</v>
      </c>
      <c r="P28" s="307"/>
    </row>
    <row r="29" spans="1:16" ht="48.95" customHeight="1">
      <c r="A29" s="5"/>
      <c r="B29" s="633" t="s">
        <v>485</v>
      </c>
      <c r="C29" s="588">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0">
        <f t="shared" si="4"/>
        <v>0</v>
      </c>
      <c r="P29" s="1122" t="s">
        <v>524</v>
      </c>
    </row>
    <row r="30" spans="1:16" ht="48.95" customHeight="1">
      <c r="A30" s="5"/>
      <c r="B30" s="632" t="s">
        <v>486</v>
      </c>
      <c r="C30" s="588"/>
      <c r="D30" s="300"/>
      <c r="E30" s="300"/>
      <c r="F30" s="300"/>
      <c r="G30" s="300"/>
      <c r="H30" s="300"/>
      <c r="I30" s="300"/>
      <c r="J30" s="300"/>
      <c r="K30" s="300"/>
      <c r="L30" s="300"/>
      <c r="M30" s="300"/>
      <c r="N30" s="300"/>
      <c r="O30" s="490">
        <f t="shared" si="4"/>
        <v>0</v>
      </c>
      <c r="P30" s="1122"/>
    </row>
    <row r="31" spans="1:16" ht="48.95" customHeight="1">
      <c r="A31" s="5"/>
      <c r="B31" s="632" t="s">
        <v>487</v>
      </c>
      <c r="C31" s="588"/>
      <c r="D31" s="300"/>
      <c r="E31" s="300"/>
      <c r="F31" s="300"/>
      <c r="G31" s="300"/>
      <c r="H31" s="300"/>
      <c r="I31" s="300"/>
      <c r="J31" s="300"/>
      <c r="K31" s="300"/>
      <c r="L31" s="300"/>
      <c r="M31" s="300"/>
      <c r="N31" s="300"/>
      <c r="O31" s="490">
        <f t="shared" si="4"/>
        <v>0</v>
      </c>
      <c r="P31" s="1122"/>
    </row>
    <row r="32" spans="1:16" ht="48.95" customHeight="1">
      <c r="A32" s="5"/>
      <c r="B32" s="633" t="s">
        <v>488</v>
      </c>
      <c r="C32" s="588">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0">
        <f t="shared" si="4"/>
        <v>0</v>
      </c>
      <c r="P32" s="307" t="s">
        <v>511</v>
      </c>
    </row>
    <row r="33" spans="1:16" ht="48.95" customHeight="1">
      <c r="A33" s="5"/>
      <c r="B33" s="632" t="s">
        <v>489</v>
      </c>
      <c r="C33" s="588"/>
      <c r="D33" s="300"/>
      <c r="E33" s="300"/>
      <c r="F33" s="300"/>
      <c r="G33" s="300"/>
      <c r="H33" s="300"/>
      <c r="I33" s="300"/>
      <c r="J33" s="300"/>
      <c r="K33" s="300"/>
      <c r="L33" s="300"/>
      <c r="M33" s="300"/>
      <c r="N33" s="300"/>
      <c r="O33" s="490">
        <f t="shared" si="4"/>
        <v>0</v>
      </c>
      <c r="P33" s="307"/>
    </row>
    <row r="34" spans="1:16" ht="48.95" customHeight="1">
      <c r="A34" s="5"/>
      <c r="B34" s="632" t="s">
        <v>490</v>
      </c>
      <c r="C34" s="588"/>
      <c r="D34" s="300"/>
      <c r="E34" s="300"/>
      <c r="F34" s="300"/>
      <c r="G34" s="300"/>
      <c r="H34" s="300"/>
      <c r="I34" s="300"/>
      <c r="J34" s="300"/>
      <c r="K34" s="300"/>
      <c r="L34" s="300"/>
      <c r="M34" s="300"/>
      <c r="N34" s="300"/>
      <c r="O34" s="490">
        <f t="shared" si="4"/>
        <v>0</v>
      </c>
      <c r="P34" s="307"/>
    </row>
    <row r="35" spans="1:16" ht="123.75" customHeight="1">
      <c r="A35" s="5"/>
      <c r="B35" s="631" t="s">
        <v>491</v>
      </c>
      <c r="C35" s="588"/>
      <c r="D35" s="300"/>
      <c r="E35" s="300"/>
      <c r="F35" s="300"/>
      <c r="G35" s="300"/>
      <c r="H35" s="300"/>
      <c r="I35" s="300"/>
      <c r="J35" s="300"/>
      <c r="K35" s="300"/>
      <c r="L35" s="300"/>
      <c r="M35" s="300"/>
      <c r="N35" s="300"/>
      <c r="O35" s="490">
        <f t="shared" si="4"/>
        <v>0</v>
      </c>
      <c r="P35" s="307" t="s">
        <v>514</v>
      </c>
    </row>
    <row r="36" spans="1:16" ht="69" customHeight="1">
      <c r="A36" s="5"/>
      <c r="B36" s="631" t="s">
        <v>492</v>
      </c>
      <c r="C36" s="588"/>
      <c r="D36" s="300"/>
      <c r="E36" s="300"/>
      <c r="F36" s="300"/>
      <c r="G36" s="300"/>
      <c r="H36" s="300"/>
      <c r="I36" s="300"/>
      <c r="J36" s="300"/>
      <c r="K36" s="300"/>
      <c r="L36" s="300"/>
      <c r="M36" s="300"/>
      <c r="N36" s="300"/>
      <c r="O36" s="490">
        <f t="shared" si="4"/>
        <v>0</v>
      </c>
      <c r="P36" s="307" t="s">
        <v>512</v>
      </c>
    </row>
    <row r="37" spans="1:16" ht="82.5" customHeight="1">
      <c r="A37" s="5"/>
      <c r="B37" s="631" t="s">
        <v>493</v>
      </c>
      <c r="C37" s="588"/>
      <c r="D37" s="300"/>
      <c r="E37" s="300"/>
      <c r="F37" s="300"/>
      <c r="G37" s="300"/>
      <c r="H37" s="300"/>
      <c r="I37" s="300"/>
      <c r="J37" s="300"/>
      <c r="K37" s="300"/>
      <c r="L37" s="300"/>
      <c r="M37" s="300"/>
      <c r="N37" s="300"/>
      <c r="O37" s="490">
        <f t="shared" si="4"/>
        <v>0</v>
      </c>
      <c r="P37" s="307" t="s">
        <v>513</v>
      </c>
    </row>
    <row r="38" spans="1:16" ht="62.25" customHeight="1">
      <c r="A38" s="5"/>
      <c r="B38" s="631" t="s">
        <v>494</v>
      </c>
      <c r="C38" s="588"/>
      <c r="D38" s="300"/>
      <c r="E38" s="300"/>
      <c r="F38" s="300"/>
      <c r="G38" s="300"/>
      <c r="H38" s="300"/>
      <c r="I38" s="300"/>
      <c r="J38" s="300"/>
      <c r="K38" s="300"/>
      <c r="L38" s="300"/>
      <c r="M38" s="300"/>
      <c r="N38" s="300"/>
      <c r="O38" s="490">
        <f t="shared" si="4"/>
        <v>0</v>
      </c>
      <c r="P38" s="307" t="s">
        <v>515</v>
      </c>
    </row>
    <row r="39" spans="1:16" ht="67.5" customHeight="1">
      <c r="A39" s="5"/>
      <c r="B39" s="631" t="s">
        <v>495</v>
      </c>
      <c r="C39" s="588">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0">
        <f t="shared" si="4"/>
        <v>0</v>
      </c>
      <c r="P39" s="307"/>
    </row>
    <row r="40" spans="1:16" ht="48.95" customHeight="1">
      <c r="A40" s="5"/>
      <c r="B40" s="632" t="s">
        <v>496</v>
      </c>
      <c r="C40" s="588"/>
      <c r="D40" s="300"/>
      <c r="E40" s="300"/>
      <c r="F40" s="300"/>
      <c r="G40" s="300"/>
      <c r="H40" s="300"/>
      <c r="I40" s="300"/>
      <c r="J40" s="300"/>
      <c r="K40" s="300"/>
      <c r="L40" s="300"/>
      <c r="M40" s="300"/>
      <c r="N40" s="300"/>
      <c r="O40" s="490">
        <f t="shared" si="4"/>
        <v>0</v>
      </c>
      <c r="P40" s="307" t="s">
        <v>516</v>
      </c>
    </row>
    <row r="41" spans="1:16" ht="48.95" customHeight="1">
      <c r="A41" s="5"/>
      <c r="B41" s="632" t="s">
        <v>497</v>
      </c>
      <c r="C41" s="588"/>
      <c r="D41" s="300"/>
      <c r="E41" s="300"/>
      <c r="F41" s="300"/>
      <c r="G41" s="300"/>
      <c r="H41" s="300"/>
      <c r="I41" s="300"/>
      <c r="J41" s="300"/>
      <c r="K41" s="300"/>
      <c r="L41" s="300"/>
      <c r="M41" s="300"/>
      <c r="N41" s="300"/>
      <c r="O41" s="490">
        <f t="shared" si="4"/>
        <v>0</v>
      </c>
      <c r="P41" s="307" t="s">
        <v>517</v>
      </c>
    </row>
    <row r="42" spans="1:16" ht="48.95" customHeight="1">
      <c r="A42" s="5"/>
      <c r="B42" s="632" t="s">
        <v>498</v>
      </c>
      <c r="C42" s="588"/>
      <c r="D42" s="300"/>
      <c r="E42" s="300"/>
      <c r="F42" s="300"/>
      <c r="G42" s="300"/>
      <c r="H42" s="300"/>
      <c r="I42" s="300"/>
      <c r="J42" s="300"/>
      <c r="K42" s="300"/>
      <c r="L42" s="300"/>
      <c r="M42" s="300"/>
      <c r="N42" s="300"/>
      <c r="O42" s="490">
        <f t="shared" si="4"/>
        <v>0</v>
      </c>
      <c r="P42" s="307" t="s">
        <v>518</v>
      </c>
    </row>
    <row r="43" spans="1:16" ht="48.95" customHeight="1">
      <c r="A43" s="5"/>
      <c r="B43" s="632" t="s">
        <v>499</v>
      </c>
      <c r="C43" s="588"/>
      <c r="D43" s="300"/>
      <c r="E43" s="300"/>
      <c r="F43" s="300"/>
      <c r="G43" s="300"/>
      <c r="H43" s="300"/>
      <c r="I43" s="300"/>
      <c r="J43" s="300"/>
      <c r="K43" s="300"/>
      <c r="L43" s="300"/>
      <c r="M43" s="300"/>
      <c r="N43" s="300"/>
      <c r="O43" s="490">
        <f t="shared" si="4"/>
        <v>0</v>
      </c>
      <c r="P43" s="307" t="s">
        <v>519</v>
      </c>
    </row>
    <row r="44" spans="1:16" ht="48.95" customHeight="1" thickBot="1">
      <c r="A44" s="5"/>
      <c r="B44" s="631" t="s">
        <v>151</v>
      </c>
      <c r="C44" s="588"/>
      <c r="D44" s="300"/>
      <c r="E44" s="300"/>
      <c r="F44" s="300"/>
      <c r="G44" s="300"/>
      <c r="H44" s="300"/>
      <c r="I44" s="300"/>
      <c r="J44" s="300"/>
      <c r="K44" s="300"/>
      <c r="L44" s="300"/>
      <c r="M44" s="300"/>
      <c r="N44" s="300"/>
      <c r="O44" s="490">
        <f t="shared" si="4"/>
        <v>0</v>
      </c>
      <c r="P44" s="501"/>
    </row>
    <row r="45" spans="1:16" ht="27" customHeight="1" thickBot="1">
      <c r="A45" s="5"/>
      <c r="B45" s="557" t="s">
        <v>155</v>
      </c>
      <c r="C45" s="608">
        <f>SUM(C46:C67)</f>
        <v>0</v>
      </c>
      <c r="D45" s="312">
        <f>SUM(D46:D67)</f>
        <v>0</v>
      </c>
      <c r="E45" s="312">
        <f t="shared" ref="E45:N45" si="12">SUM(E46:E67)</f>
        <v>0</v>
      </c>
      <c r="F45" s="312">
        <f>SUM(F46:F67)</f>
        <v>0</v>
      </c>
      <c r="G45" s="312">
        <f t="shared" si="12"/>
        <v>0</v>
      </c>
      <c r="H45" s="312">
        <f>SUM(H46:H67)</f>
        <v>0</v>
      </c>
      <c r="I45" s="312">
        <f t="shared" si="12"/>
        <v>0</v>
      </c>
      <c r="J45" s="312">
        <f t="shared" si="12"/>
        <v>0</v>
      </c>
      <c r="K45" s="312">
        <f t="shared" si="12"/>
        <v>0</v>
      </c>
      <c r="L45" s="312">
        <f t="shared" si="12"/>
        <v>0</v>
      </c>
      <c r="M45" s="312">
        <f t="shared" si="12"/>
        <v>243000</v>
      </c>
      <c r="N45" s="312">
        <f t="shared" si="12"/>
        <v>238000</v>
      </c>
      <c r="O45" s="313">
        <f t="shared" si="4"/>
        <v>481000</v>
      </c>
      <c r="P45" s="1038" t="s">
        <v>502</v>
      </c>
    </row>
    <row r="46" spans="1:16" ht="26.25" customHeight="1">
      <c r="A46" s="5"/>
      <c r="B46" s="491" t="s">
        <v>145</v>
      </c>
      <c r="C46" s="610"/>
      <c r="D46" s="310"/>
      <c r="E46" s="310"/>
      <c r="F46" s="310"/>
      <c r="G46" s="310"/>
      <c r="H46" s="310"/>
      <c r="I46" s="310"/>
      <c r="J46" s="310"/>
      <c r="K46" s="310"/>
      <c r="L46" s="310"/>
      <c r="M46" s="310"/>
      <c r="N46" s="310"/>
      <c r="O46" s="489">
        <f t="shared" si="4"/>
        <v>0</v>
      </c>
      <c r="P46" s="1039"/>
    </row>
    <row r="47" spans="1:16" ht="22.5" customHeight="1">
      <c r="A47" s="5"/>
      <c r="B47" s="492" t="s">
        <v>152</v>
      </c>
      <c r="C47" s="610"/>
      <c r="D47" s="310"/>
      <c r="E47" s="310"/>
      <c r="F47" s="310"/>
      <c r="G47" s="310"/>
      <c r="H47" s="310"/>
      <c r="I47" s="310"/>
      <c r="J47" s="310"/>
      <c r="K47" s="310"/>
      <c r="L47" s="310"/>
      <c r="M47" s="310"/>
      <c r="N47" s="310"/>
      <c r="O47" s="490">
        <f t="shared" si="4"/>
        <v>0</v>
      </c>
      <c r="P47" s="1039"/>
    </row>
    <row r="48" spans="1:16" ht="35.25" customHeight="1">
      <c r="A48" s="5"/>
      <c r="B48" s="492" t="s">
        <v>153</v>
      </c>
      <c r="C48" s="610"/>
      <c r="D48" s="310"/>
      <c r="E48" s="310"/>
      <c r="F48" s="310"/>
      <c r="G48" s="310"/>
      <c r="H48" s="310"/>
      <c r="I48" s="310"/>
      <c r="J48" s="310"/>
      <c r="K48" s="310"/>
      <c r="L48" s="310"/>
      <c r="M48" s="310"/>
      <c r="N48" s="310"/>
      <c r="O48" s="490">
        <f t="shared" si="4"/>
        <v>0</v>
      </c>
      <c r="P48" s="1039"/>
    </row>
    <row r="49" spans="1:16" ht="36" customHeight="1">
      <c r="A49" s="5"/>
      <c r="B49" s="492" t="s">
        <v>154</v>
      </c>
      <c r="C49" s="610"/>
      <c r="D49" s="310"/>
      <c r="E49" s="310"/>
      <c r="F49" s="310"/>
      <c r="G49" s="310"/>
      <c r="H49" s="310"/>
      <c r="I49" s="310"/>
      <c r="J49" s="310"/>
      <c r="K49" s="310"/>
      <c r="L49" s="310"/>
      <c r="M49" s="310"/>
      <c r="N49" s="310"/>
      <c r="O49" s="490">
        <f t="shared" si="4"/>
        <v>0</v>
      </c>
      <c r="P49" s="1039"/>
    </row>
    <row r="50" spans="1:16" ht="35.25" customHeight="1">
      <c r="A50" s="5"/>
      <c r="B50" s="492" t="s">
        <v>146</v>
      </c>
      <c r="C50" s="610"/>
      <c r="D50" s="310"/>
      <c r="E50" s="310"/>
      <c r="F50" s="310"/>
      <c r="G50" s="310"/>
      <c r="H50" s="310"/>
      <c r="I50" s="310"/>
      <c r="J50" s="310"/>
      <c r="K50" s="310"/>
      <c r="L50" s="310"/>
      <c r="M50" s="719">
        <v>10000</v>
      </c>
      <c r="N50" s="719">
        <v>10000</v>
      </c>
      <c r="O50" s="490">
        <f t="shared" si="4"/>
        <v>20000</v>
      </c>
      <c r="P50" s="1039"/>
    </row>
    <row r="51" spans="1:16" ht="22.5" customHeight="1">
      <c r="A51" s="5"/>
      <c r="B51" s="492" t="s">
        <v>149</v>
      </c>
      <c r="C51" s="610"/>
      <c r="D51" s="310"/>
      <c r="E51" s="310"/>
      <c r="F51" s="310"/>
      <c r="G51" s="310"/>
      <c r="H51" s="310"/>
      <c r="I51" s="310"/>
      <c r="J51" s="310"/>
      <c r="K51" s="310"/>
      <c r="L51" s="310"/>
      <c r="M51" s="719">
        <v>20000</v>
      </c>
      <c r="N51" s="719">
        <v>20000</v>
      </c>
      <c r="O51" s="490">
        <f t="shared" si="4"/>
        <v>40000</v>
      </c>
      <c r="P51" s="1039"/>
    </row>
    <row r="52" spans="1:16" ht="22.5" customHeight="1">
      <c r="A52" s="5"/>
      <c r="B52" s="492" t="s">
        <v>147</v>
      </c>
      <c r="C52" s="610"/>
      <c r="D52" s="310"/>
      <c r="E52" s="310"/>
      <c r="F52" s="310"/>
      <c r="G52" s="310"/>
      <c r="H52" s="310"/>
      <c r="I52" s="310"/>
      <c r="J52" s="310"/>
      <c r="K52" s="310"/>
      <c r="L52" s="310"/>
      <c r="M52" s="719"/>
      <c r="N52" s="719"/>
      <c r="O52" s="490">
        <f t="shared" si="4"/>
        <v>0</v>
      </c>
      <c r="P52" s="1039"/>
    </row>
    <row r="53" spans="1:16" ht="37.5" customHeight="1">
      <c r="A53" s="5"/>
      <c r="B53" s="492" t="s">
        <v>412</v>
      </c>
      <c r="C53" s="610"/>
      <c r="D53" s="310"/>
      <c r="E53" s="310"/>
      <c r="F53" s="310"/>
      <c r="G53" s="310"/>
      <c r="H53" s="310"/>
      <c r="I53" s="310"/>
      <c r="J53" s="310"/>
      <c r="K53" s="310"/>
      <c r="L53" s="310"/>
      <c r="M53" s="310"/>
      <c r="N53" s="310"/>
      <c r="O53" s="490">
        <f t="shared" si="4"/>
        <v>0</v>
      </c>
      <c r="P53" s="1039"/>
    </row>
    <row r="54" spans="1:16" ht="50.25" customHeight="1">
      <c r="A54" s="5"/>
      <c r="B54" s="492" t="s">
        <v>150</v>
      </c>
      <c r="C54" s="610"/>
      <c r="D54" s="310"/>
      <c r="E54" s="310"/>
      <c r="F54" s="310"/>
      <c r="G54" s="310"/>
      <c r="H54" s="310"/>
      <c r="I54" s="310"/>
      <c r="J54" s="310"/>
      <c r="K54" s="310"/>
      <c r="L54" s="310"/>
      <c r="M54" s="310">
        <v>8000</v>
      </c>
      <c r="N54" s="310">
        <v>8000</v>
      </c>
      <c r="O54" s="490">
        <f t="shared" si="4"/>
        <v>16000</v>
      </c>
      <c r="P54" s="1039"/>
    </row>
    <row r="55" spans="1:16" ht="37.5" customHeight="1">
      <c r="A55" s="5"/>
      <c r="B55" s="492" t="s">
        <v>413</v>
      </c>
      <c r="C55" s="610"/>
      <c r="D55" s="310"/>
      <c r="E55" s="310"/>
      <c r="F55" s="310"/>
      <c r="G55" s="310"/>
      <c r="H55" s="310"/>
      <c r="I55" s="310"/>
      <c r="J55" s="310"/>
      <c r="K55" s="310"/>
      <c r="L55" s="310"/>
      <c r="M55" s="310">
        <v>5000</v>
      </c>
      <c r="N55" s="310">
        <v>5000</v>
      </c>
      <c r="O55" s="490">
        <f t="shared" si="4"/>
        <v>10000</v>
      </c>
      <c r="P55" s="1039"/>
    </row>
    <row r="56" spans="1:16" ht="38.25" customHeight="1">
      <c r="A56" s="5"/>
      <c r="B56" s="492" t="s">
        <v>414</v>
      </c>
      <c r="C56" s="610"/>
      <c r="D56" s="310"/>
      <c r="E56" s="310"/>
      <c r="F56" s="310"/>
      <c r="G56" s="310"/>
      <c r="H56" s="310"/>
      <c r="I56" s="310"/>
      <c r="J56" s="310"/>
      <c r="K56" s="310"/>
      <c r="L56" s="310"/>
      <c r="M56" s="310"/>
      <c r="N56" s="310"/>
      <c r="O56" s="490">
        <f t="shared" si="4"/>
        <v>0</v>
      </c>
      <c r="P56" s="1039"/>
    </row>
    <row r="57" spans="1:16" ht="38.25" customHeight="1">
      <c r="A57" s="5"/>
      <c r="B57" s="492" t="s">
        <v>432</v>
      </c>
      <c r="C57" s="610"/>
      <c r="D57" s="310"/>
      <c r="E57" s="310"/>
      <c r="F57" s="310"/>
      <c r="G57" s="310"/>
      <c r="H57" s="310"/>
      <c r="I57" s="310"/>
      <c r="J57" s="310"/>
      <c r="K57" s="310"/>
      <c r="L57" s="310"/>
      <c r="M57" s="719">
        <v>10000</v>
      </c>
      <c r="N57" s="719">
        <v>10000</v>
      </c>
      <c r="O57" s="490">
        <f t="shared" si="4"/>
        <v>20000</v>
      </c>
      <c r="P57" s="1039"/>
    </row>
    <row r="58" spans="1:16" ht="39" customHeight="1">
      <c r="A58" s="5"/>
      <c r="B58" s="492" t="s">
        <v>148</v>
      </c>
      <c r="C58" s="610"/>
      <c r="D58" s="310"/>
      <c r="E58" s="310"/>
      <c r="F58" s="310"/>
      <c r="G58" s="310"/>
      <c r="H58" s="310"/>
      <c r="I58" s="310"/>
      <c r="J58" s="310"/>
      <c r="K58" s="310"/>
      <c r="L58" s="310"/>
      <c r="M58" s="310">
        <v>90000</v>
      </c>
      <c r="N58" s="310">
        <v>85000</v>
      </c>
      <c r="O58" s="490">
        <f t="shared" si="4"/>
        <v>175000</v>
      </c>
      <c r="P58" s="1039"/>
    </row>
    <row r="59" spans="1:16" ht="22.5" customHeight="1">
      <c r="A59" s="5"/>
      <c r="B59" s="492" t="s">
        <v>142</v>
      </c>
      <c r="C59" s="610"/>
      <c r="D59" s="310"/>
      <c r="E59" s="310"/>
      <c r="F59" s="310"/>
      <c r="G59" s="310"/>
      <c r="H59" s="310"/>
      <c r="I59" s="310"/>
      <c r="J59" s="310"/>
      <c r="K59" s="310"/>
      <c r="L59" s="310"/>
      <c r="M59" s="310"/>
      <c r="N59" s="310"/>
      <c r="O59" s="490">
        <f t="shared" si="4"/>
        <v>0</v>
      </c>
      <c r="P59" s="1039"/>
    </row>
    <row r="60" spans="1:16" ht="46.5" customHeight="1">
      <c r="A60" s="5"/>
      <c r="B60" s="492" t="s">
        <v>143</v>
      </c>
      <c r="C60" s="610"/>
      <c r="D60" s="310"/>
      <c r="E60" s="310"/>
      <c r="F60" s="310"/>
      <c r="G60" s="310"/>
      <c r="H60" s="310"/>
      <c r="I60" s="310"/>
      <c r="J60" s="310"/>
      <c r="K60" s="310"/>
      <c r="L60" s="310"/>
      <c r="M60" s="310"/>
      <c r="N60" s="310"/>
      <c r="O60" s="490">
        <f t="shared" si="4"/>
        <v>0</v>
      </c>
      <c r="P60" s="1039"/>
    </row>
    <row r="61" spans="1:16" ht="22.5" customHeight="1">
      <c r="A61" s="5"/>
      <c r="B61" s="492" t="s">
        <v>144</v>
      </c>
      <c r="C61" s="610"/>
      <c r="D61" s="310"/>
      <c r="E61" s="310"/>
      <c r="F61" s="310"/>
      <c r="G61" s="310"/>
      <c r="H61" s="310"/>
      <c r="I61" s="310"/>
      <c r="J61" s="310"/>
      <c r="K61" s="310"/>
      <c r="L61" s="310"/>
      <c r="M61" s="310"/>
      <c r="N61" s="310"/>
      <c r="O61" s="490">
        <f t="shared" si="4"/>
        <v>0</v>
      </c>
      <c r="P61" s="1039"/>
    </row>
    <row r="62" spans="1:16" ht="32.25" customHeight="1">
      <c r="A62" s="5"/>
      <c r="B62" s="493" t="s">
        <v>431</v>
      </c>
      <c r="C62" s="610"/>
      <c r="D62" s="310"/>
      <c r="E62" s="310"/>
      <c r="F62" s="310"/>
      <c r="G62" s="310"/>
      <c r="H62" s="310"/>
      <c r="I62" s="310"/>
      <c r="J62" s="310"/>
      <c r="K62" s="310"/>
      <c r="L62" s="310"/>
      <c r="M62" s="310">
        <v>100000</v>
      </c>
      <c r="N62" s="310">
        <v>100000</v>
      </c>
      <c r="O62" s="490">
        <f t="shared" si="4"/>
        <v>200000</v>
      </c>
      <c r="P62" s="307"/>
    </row>
    <row r="63" spans="1:16" ht="22.5" customHeight="1">
      <c r="A63" s="5"/>
      <c r="B63" s="600"/>
      <c r="C63" s="588"/>
      <c r="D63" s="300"/>
      <c r="E63" s="300"/>
      <c r="F63" s="300"/>
      <c r="G63" s="300"/>
      <c r="H63" s="300"/>
      <c r="I63" s="300"/>
      <c r="J63" s="300"/>
      <c r="K63" s="300"/>
      <c r="L63" s="300"/>
      <c r="M63" s="300"/>
      <c r="N63" s="300"/>
      <c r="O63" s="490">
        <f t="shared" si="4"/>
        <v>0</v>
      </c>
      <c r="P63" s="307"/>
    </row>
    <row r="64" spans="1:16" ht="27" customHeight="1">
      <c r="A64" s="5"/>
      <c r="B64" s="600"/>
      <c r="C64" s="588"/>
      <c r="D64" s="300"/>
      <c r="E64" s="300"/>
      <c r="F64" s="300"/>
      <c r="G64" s="300"/>
      <c r="H64" s="300"/>
      <c r="I64" s="300"/>
      <c r="J64" s="300"/>
      <c r="K64" s="300"/>
      <c r="L64" s="300"/>
      <c r="M64" s="300"/>
      <c r="N64" s="300"/>
      <c r="O64" s="490">
        <f t="shared" si="4"/>
        <v>0</v>
      </c>
      <c r="P64" s="307"/>
    </row>
    <row r="65" spans="1:16" ht="23.25" customHeight="1">
      <c r="A65" s="5"/>
      <c r="B65" s="600"/>
      <c r="C65" s="588"/>
      <c r="D65" s="300"/>
      <c r="E65" s="300"/>
      <c r="F65" s="300"/>
      <c r="G65" s="300"/>
      <c r="H65" s="300"/>
      <c r="I65" s="300"/>
      <c r="J65" s="300"/>
      <c r="K65" s="300"/>
      <c r="L65" s="300"/>
      <c r="M65" s="300"/>
      <c r="N65" s="300"/>
      <c r="O65" s="490">
        <f t="shared" si="4"/>
        <v>0</v>
      </c>
      <c r="P65" s="307"/>
    </row>
    <row r="66" spans="1:16" ht="27" customHeight="1">
      <c r="A66" s="5"/>
      <c r="B66" s="600"/>
      <c r="C66" s="588"/>
      <c r="D66" s="300"/>
      <c r="E66" s="300"/>
      <c r="F66" s="300"/>
      <c r="G66" s="300"/>
      <c r="H66" s="300"/>
      <c r="I66" s="300"/>
      <c r="J66" s="300"/>
      <c r="K66" s="300"/>
      <c r="L66" s="300"/>
      <c r="M66" s="300"/>
      <c r="N66" s="300"/>
      <c r="O66" s="490">
        <f t="shared" si="4"/>
        <v>0</v>
      </c>
      <c r="P66" s="307"/>
    </row>
    <row r="67" spans="1:16" ht="39" customHeight="1" thickBot="1">
      <c r="A67" s="5"/>
      <c r="B67" s="601" t="s">
        <v>151</v>
      </c>
      <c r="C67" s="609"/>
      <c r="D67" s="304"/>
      <c r="E67" s="304"/>
      <c r="F67" s="304"/>
      <c r="G67" s="304"/>
      <c r="H67" s="304"/>
      <c r="I67" s="304"/>
      <c r="J67" s="304"/>
      <c r="K67" s="304"/>
      <c r="L67" s="304"/>
      <c r="M67" s="304"/>
      <c r="N67" s="304"/>
      <c r="O67" s="639">
        <f>SUM(C67:N67)</f>
        <v>0</v>
      </c>
      <c r="P67" s="1116" t="s">
        <v>312</v>
      </c>
    </row>
    <row r="68" spans="1:16" ht="48.75" customHeight="1" thickBot="1">
      <c r="A68" s="5"/>
      <c r="B68" s="597" t="s">
        <v>156</v>
      </c>
      <c r="C68" s="608">
        <f>SUM(C15,C45)</f>
        <v>0</v>
      </c>
      <c r="D68" s="312">
        <f t="shared" ref="D68:N68" si="13">SUM(D15,D45)</f>
        <v>0</v>
      </c>
      <c r="E68" s="312">
        <f t="shared" si="13"/>
        <v>0</v>
      </c>
      <c r="F68" s="312">
        <f>SUM(F15,F45)</f>
        <v>0</v>
      </c>
      <c r="G68" s="312">
        <f>SUM(G15,G45)</f>
        <v>0</v>
      </c>
      <c r="H68" s="312">
        <f t="shared" si="13"/>
        <v>0</v>
      </c>
      <c r="I68" s="312">
        <f t="shared" si="13"/>
        <v>0</v>
      </c>
      <c r="J68" s="312">
        <f t="shared" si="13"/>
        <v>0</v>
      </c>
      <c r="K68" s="312">
        <f t="shared" si="13"/>
        <v>0</v>
      </c>
      <c r="L68" s="312">
        <f t="shared" si="13"/>
        <v>0</v>
      </c>
      <c r="M68" s="312">
        <f t="shared" si="13"/>
        <v>1034833</v>
      </c>
      <c r="N68" s="312">
        <f t="shared" si="13"/>
        <v>468500</v>
      </c>
      <c r="O68" s="313">
        <f t="shared" si="4"/>
        <v>1503333</v>
      </c>
      <c r="P68" s="1116"/>
    </row>
    <row r="69" spans="1:16" ht="57.75" customHeight="1">
      <c r="A69" s="5"/>
      <c r="B69" s="602" t="s">
        <v>157</v>
      </c>
      <c r="C69" s="611">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120" t="s">
        <v>316</v>
      </c>
    </row>
    <row r="70" spans="1:16" ht="40.5" customHeight="1" thickBot="1">
      <c r="A70" s="5"/>
      <c r="B70" s="603" t="s">
        <v>158</v>
      </c>
      <c r="C70" s="588">
        <f>SUM(C6:C10)-SUM(C17,C20,C23,C24,C27,C28,C29,C32,C35,C36,C37,C38,C39)-SUM(C46:C66)</f>
        <v>0</v>
      </c>
      <c r="D70" s="300">
        <f t="shared" ref="D70:N70" si="15">SUM(D6:D10)-SUM(D17,D20,D23,D24,D27,D28,D29,D32,D35,D36,D37,D38,D39)-SUM(D46:D66)</f>
        <v>0</v>
      </c>
      <c r="E70" s="300">
        <f t="shared" si="15"/>
        <v>0</v>
      </c>
      <c r="F70" s="300">
        <f t="shared" si="15"/>
        <v>0</v>
      </c>
      <c r="G70" s="300">
        <f t="shared" si="15"/>
        <v>0</v>
      </c>
      <c r="H70" s="300">
        <f t="shared" si="15"/>
        <v>0</v>
      </c>
      <c r="I70" s="300">
        <f t="shared" si="15"/>
        <v>0</v>
      </c>
      <c r="J70" s="300">
        <f t="shared" si="15"/>
        <v>0</v>
      </c>
      <c r="K70" s="300">
        <f t="shared" si="15"/>
        <v>0</v>
      </c>
      <c r="L70" s="300">
        <f t="shared" si="15"/>
        <v>0</v>
      </c>
      <c r="M70" s="300">
        <f t="shared" si="15"/>
        <v>1148500</v>
      </c>
      <c r="N70" s="300">
        <f t="shared" si="15"/>
        <v>-68500</v>
      </c>
      <c r="O70" s="303">
        <f t="shared" si="4"/>
        <v>1080000</v>
      </c>
      <c r="P70" s="1121"/>
    </row>
    <row r="71" spans="1:16" ht="45" customHeight="1" thickBot="1">
      <c r="A71" s="5"/>
      <c r="B71" s="594" t="s">
        <v>159</v>
      </c>
      <c r="C71" s="609">
        <f>C5+C12-C68+C69</f>
        <v>0</v>
      </c>
      <c r="D71" s="304">
        <f>D5+D12-D68+D69</f>
        <v>0</v>
      </c>
      <c r="E71" s="304">
        <f t="shared" ref="E71:N71" si="16">E5+E12-E68+E69</f>
        <v>0</v>
      </c>
      <c r="F71" s="304">
        <f t="shared" si="16"/>
        <v>0</v>
      </c>
      <c r="G71" s="304">
        <f t="shared" si="16"/>
        <v>0</v>
      </c>
      <c r="H71" s="304">
        <f t="shared" si="16"/>
        <v>0</v>
      </c>
      <c r="I71" s="304">
        <f t="shared" si="16"/>
        <v>0</v>
      </c>
      <c r="J71" s="304">
        <f t="shared" si="16"/>
        <v>0</v>
      </c>
      <c r="K71" s="304">
        <f t="shared" si="16"/>
        <v>0</v>
      </c>
      <c r="L71" s="304">
        <f t="shared" si="16"/>
        <v>0</v>
      </c>
      <c r="M71" s="304">
        <f t="shared" si="16"/>
        <v>1148500</v>
      </c>
      <c r="N71" s="304">
        <f t="shared" si="16"/>
        <v>1080000</v>
      </c>
      <c r="O71" s="316">
        <f>N71</f>
        <v>1080000</v>
      </c>
      <c r="P71" s="314" t="s">
        <v>315</v>
      </c>
    </row>
    <row r="72" spans="1:16" ht="15">
      <c r="B72" s="453"/>
      <c r="C72" s="454"/>
      <c r="D72" s="454"/>
      <c r="E72" s="454"/>
      <c r="F72" s="454"/>
      <c r="G72" s="455"/>
      <c r="H72" s="455"/>
      <c r="I72" s="455"/>
      <c r="J72" s="455"/>
      <c r="K72" s="455"/>
      <c r="L72" s="455"/>
      <c r="M72" s="455"/>
      <c r="N72" s="455"/>
      <c r="O72" s="456"/>
    </row>
    <row r="73" spans="1:16" ht="168" customHeight="1">
      <c r="B73" s="1114" t="s">
        <v>465</v>
      </c>
      <c r="C73" s="1114"/>
      <c r="D73" s="1114"/>
      <c r="E73" s="1114"/>
      <c r="F73" s="1114"/>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12" t="s">
        <v>463</v>
      </c>
      <c r="C75" s="1112"/>
      <c r="D75" s="1112"/>
      <c r="E75" s="1112"/>
      <c r="F75" s="1112"/>
      <c r="G75" s="460"/>
      <c r="H75" s="460"/>
      <c r="I75" s="460"/>
      <c r="J75" s="460"/>
      <c r="K75" s="460"/>
      <c r="L75" s="460"/>
      <c r="M75" s="460"/>
      <c r="N75" s="460"/>
      <c r="O75" s="460"/>
    </row>
    <row r="76" spans="1:16" ht="25.5" customHeight="1">
      <c r="B76" s="1112" t="s">
        <v>464</v>
      </c>
      <c r="C76" s="1112"/>
      <c r="D76" s="1112"/>
      <c r="E76" s="1112"/>
      <c r="F76" s="1112"/>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3" t="s">
        <v>426</v>
      </c>
      <c r="C78" s="1113"/>
      <c r="D78" s="1113"/>
      <c r="E78" s="1113"/>
      <c r="F78" s="1113"/>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2" t="s">
        <v>463</v>
      </c>
      <c r="C81" s="1112"/>
      <c r="D81" s="1112"/>
      <c r="E81" s="1112"/>
      <c r="F81" s="1112"/>
      <c r="G81" s="460"/>
      <c r="H81" s="460"/>
      <c r="I81" s="460"/>
      <c r="J81" s="460"/>
      <c r="K81" s="460"/>
      <c r="L81" s="460"/>
      <c r="M81" s="460"/>
      <c r="N81" s="460"/>
      <c r="O81" s="46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view="pageBreakPreview" zoomScale="60" zoomScaleNormal="60" workbookViewId="0">
      <pane xSplit="2" ySplit="4" topLeftCell="C5" activePane="bottomRight" state="frozen"/>
      <selection activeCell="B8" sqref="B8"/>
      <selection pane="topRight" activeCell="B8" sqref="B8"/>
      <selection pane="bottomLeft" activeCell="B8" sqref="B8"/>
      <selection pane="bottomRight" activeCell="B8" sqref="B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5" customWidth="1"/>
    <col min="17" max="16384" width="9.140625" style="12"/>
  </cols>
  <sheetData>
    <row r="1" spans="1:16" ht="36.75" customHeight="1" thickBot="1">
      <c r="A1" s="5"/>
      <c r="B1" s="322" t="s">
        <v>505</v>
      </c>
      <c r="C1" s="528"/>
      <c r="D1" s="528"/>
      <c r="E1" s="528"/>
      <c r="F1" s="528"/>
      <c r="G1" s="528"/>
      <c r="H1" s="528"/>
      <c r="I1" s="528"/>
      <c r="J1" s="528"/>
      <c r="K1" s="528"/>
      <c r="L1" s="528"/>
      <c r="M1" s="528"/>
      <c r="N1" s="528"/>
      <c r="O1" s="529"/>
      <c r="P1" s="620" t="s">
        <v>207</v>
      </c>
    </row>
    <row r="2" spans="1:16" ht="20.25" customHeight="1" thickBot="1">
      <c r="A2" s="5"/>
      <c r="B2" s="593" t="s">
        <v>648</v>
      </c>
      <c r="C2" s="604">
        <v>1</v>
      </c>
      <c r="D2" s="327">
        <v>2</v>
      </c>
      <c r="E2" s="327">
        <v>3</v>
      </c>
      <c r="F2" s="327">
        <v>4</v>
      </c>
      <c r="G2" s="328">
        <v>5</v>
      </c>
      <c r="H2" s="328">
        <v>6</v>
      </c>
      <c r="I2" s="328">
        <v>7</v>
      </c>
      <c r="J2" s="328">
        <v>8</v>
      </c>
      <c r="K2" s="328">
        <v>9</v>
      </c>
      <c r="L2" s="328">
        <v>10</v>
      </c>
      <c r="M2" s="328">
        <v>11</v>
      </c>
      <c r="N2" s="328">
        <v>12</v>
      </c>
      <c r="O2" s="329" t="s">
        <v>106</v>
      </c>
      <c r="P2" s="619" t="s">
        <v>287</v>
      </c>
    </row>
    <row r="3" spans="1:16" ht="24.75" customHeight="1" thickBot="1">
      <c r="A3" s="5"/>
      <c r="B3" s="624" t="s">
        <v>314</v>
      </c>
      <c r="C3" s="605" t="s">
        <v>125</v>
      </c>
      <c r="D3" s="330" t="s">
        <v>126</v>
      </c>
      <c r="E3" s="330" t="s">
        <v>127</v>
      </c>
      <c r="F3" s="330" t="s">
        <v>128</v>
      </c>
      <c r="G3" s="330" t="s">
        <v>129</v>
      </c>
      <c r="H3" s="330" t="s">
        <v>130</v>
      </c>
      <c r="I3" s="330" t="s">
        <v>131</v>
      </c>
      <c r="J3" s="330" t="s">
        <v>214</v>
      </c>
      <c r="K3" s="330" t="s">
        <v>313</v>
      </c>
      <c r="L3" s="330" t="s">
        <v>215</v>
      </c>
      <c r="M3" s="330" t="s">
        <v>216</v>
      </c>
      <c r="N3" s="330" t="s">
        <v>217</v>
      </c>
      <c r="O3" s="331" t="s">
        <v>230</v>
      </c>
      <c r="P3" s="1038" t="s">
        <v>526</v>
      </c>
    </row>
    <row r="4" spans="1:16" ht="28.5" customHeight="1" thickBot="1">
      <c r="A4" s="5"/>
      <c r="B4" s="616" t="s">
        <v>132</v>
      </c>
      <c r="C4" s="18"/>
      <c r="D4" s="323"/>
      <c r="E4" s="323"/>
      <c r="F4" s="323"/>
      <c r="G4" s="324"/>
      <c r="H4" s="324"/>
      <c r="I4" s="324"/>
      <c r="J4" s="324"/>
      <c r="K4" s="324"/>
      <c r="L4" s="324"/>
      <c r="M4" s="324"/>
      <c r="N4" s="324"/>
      <c r="O4" s="325"/>
      <c r="P4" s="1115"/>
    </row>
    <row r="5" spans="1:16" ht="27.75" customHeight="1">
      <c r="A5" s="5"/>
      <c r="B5" s="595" t="s">
        <v>133</v>
      </c>
      <c r="C5" s="606">
        <f>'10.a-Cash-flow 1. év'!N71</f>
        <v>1080000</v>
      </c>
      <c r="D5" s="301">
        <f>C71</f>
        <v>800500</v>
      </c>
      <c r="E5" s="301">
        <f t="shared" ref="E5:N5" si="0">D71</f>
        <v>502000</v>
      </c>
      <c r="F5" s="301">
        <f t="shared" si="0"/>
        <v>233500</v>
      </c>
      <c r="G5" s="301">
        <f t="shared" si="0"/>
        <v>865000</v>
      </c>
      <c r="H5" s="301">
        <f t="shared" si="0"/>
        <v>746500</v>
      </c>
      <c r="I5" s="301">
        <f t="shared" si="0"/>
        <v>628000</v>
      </c>
      <c r="J5" s="301">
        <f t="shared" si="0"/>
        <v>559500</v>
      </c>
      <c r="K5" s="301">
        <f t="shared" si="0"/>
        <v>491000</v>
      </c>
      <c r="L5" s="301">
        <f t="shared" si="0"/>
        <v>392500</v>
      </c>
      <c r="M5" s="301">
        <f t="shared" si="0"/>
        <v>1124000</v>
      </c>
      <c r="N5" s="301">
        <f t="shared" si="0"/>
        <v>1105500</v>
      </c>
      <c r="O5" s="546"/>
      <c r="P5" s="741" t="s">
        <v>501</v>
      </c>
    </row>
    <row r="6" spans="1:16" ht="27" customHeight="1">
      <c r="A6" s="5"/>
      <c r="B6" s="596" t="s">
        <v>134</v>
      </c>
      <c r="C6" s="588">
        <v>200000</v>
      </c>
      <c r="D6" s="588">
        <v>200000</v>
      </c>
      <c r="E6" s="588">
        <v>200000</v>
      </c>
      <c r="F6" s="300">
        <v>350000</v>
      </c>
      <c r="G6" s="300">
        <v>350000</v>
      </c>
      <c r="H6" s="300">
        <v>350000</v>
      </c>
      <c r="I6" s="300">
        <v>400000</v>
      </c>
      <c r="J6" s="300">
        <v>400000</v>
      </c>
      <c r="K6" s="300">
        <v>400000</v>
      </c>
      <c r="L6" s="306">
        <v>450000</v>
      </c>
      <c r="M6" s="306">
        <v>450000</v>
      </c>
      <c r="N6" s="306">
        <v>450000</v>
      </c>
      <c r="O6" s="303">
        <f>SUM(C6:N6)</f>
        <v>4200000</v>
      </c>
      <c r="P6" s="742"/>
    </row>
    <row r="7" spans="1:16" ht="32.25" customHeight="1">
      <c r="A7" s="5"/>
      <c r="B7" s="630" t="s">
        <v>135</v>
      </c>
      <c r="C7" s="588"/>
      <c r="D7" s="300"/>
      <c r="E7" s="300"/>
      <c r="F7" s="300"/>
      <c r="G7" s="300"/>
      <c r="H7" s="300"/>
      <c r="I7" s="300"/>
      <c r="J7" s="300"/>
      <c r="K7" s="306"/>
      <c r="L7" s="306"/>
      <c r="M7" s="306"/>
      <c r="N7" s="306"/>
      <c r="O7" s="303">
        <f t="shared" ref="O7:O12" si="1">SUM(C7:N7)</f>
        <v>0</v>
      </c>
      <c r="P7" s="742"/>
    </row>
    <row r="8" spans="1:16" ht="32.25" customHeight="1">
      <c r="A8" s="5"/>
      <c r="B8" s="630" t="s">
        <v>136</v>
      </c>
      <c r="C8" s="588"/>
      <c r="D8" s="300"/>
      <c r="E8" s="300"/>
      <c r="F8" s="300"/>
      <c r="G8" s="300"/>
      <c r="H8" s="300"/>
      <c r="I8" s="300"/>
      <c r="J8" s="300"/>
      <c r="K8" s="306"/>
      <c r="L8" s="306"/>
      <c r="M8" s="306"/>
      <c r="N8" s="306"/>
      <c r="O8" s="303">
        <f t="shared" si="1"/>
        <v>0</v>
      </c>
      <c r="P8" s="742"/>
    </row>
    <row r="9" spans="1:16" ht="32.25" customHeight="1">
      <c r="A9" s="5"/>
      <c r="B9" s="630" t="s">
        <v>137</v>
      </c>
      <c r="C9" s="588"/>
      <c r="D9" s="300"/>
      <c r="E9" s="300"/>
      <c r="F9" s="300">
        <v>750000</v>
      </c>
      <c r="G9" s="300"/>
      <c r="H9" s="300"/>
      <c r="I9" s="300"/>
      <c r="J9" s="300"/>
      <c r="K9" s="306"/>
      <c r="L9" s="306">
        <v>750000</v>
      </c>
      <c r="M9" s="306"/>
      <c r="N9" s="306"/>
      <c r="O9" s="303">
        <f t="shared" si="1"/>
        <v>1500000</v>
      </c>
      <c r="P9" s="742"/>
    </row>
    <row r="10" spans="1:16" ht="32.25" customHeight="1">
      <c r="A10" s="5"/>
      <c r="B10" s="630" t="s">
        <v>138</v>
      </c>
      <c r="C10" s="588"/>
      <c r="D10" s="300"/>
      <c r="E10" s="300"/>
      <c r="F10" s="300"/>
      <c r="G10" s="300"/>
      <c r="H10" s="300"/>
      <c r="I10" s="300"/>
      <c r="J10" s="300"/>
      <c r="K10" s="306"/>
      <c r="L10" s="306"/>
      <c r="M10" s="306"/>
      <c r="N10" s="306"/>
      <c r="O10" s="303">
        <f t="shared" si="1"/>
        <v>0</v>
      </c>
      <c r="P10" s="742"/>
    </row>
    <row r="11" spans="1:16" ht="32.25" customHeight="1" thickBot="1">
      <c r="A11" s="5"/>
      <c r="B11" s="596" t="s">
        <v>139</v>
      </c>
      <c r="C11" s="607"/>
      <c r="D11" s="308"/>
      <c r="E11" s="308"/>
      <c r="F11" s="308"/>
      <c r="G11" s="308"/>
      <c r="H11" s="308"/>
      <c r="I11" s="308"/>
      <c r="J11" s="308"/>
      <c r="K11" s="308"/>
      <c r="L11" s="308"/>
      <c r="M11" s="308"/>
      <c r="N11" s="308"/>
      <c r="O11" s="309">
        <f t="shared" si="1"/>
        <v>0</v>
      </c>
      <c r="P11" s="742"/>
    </row>
    <row r="12" spans="1:16" ht="32.25" customHeight="1" thickBot="1">
      <c r="A12" s="5"/>
      <c r="B12" s="597" t="s">
        <v>140</v>
      </c>
      <c r="C12" s="608">
        <f>SUM(C6:C11)</f>
        <v>200000</v>
      </c>
      <c r="D12" s="312">
        <f t="shared" ref="D12:N12" si="2">SUM(D6:D11)</f>
        <v>200000</v>
      </c>
      <c r="E12" s="312">
        <f t="shared" si="2"/>
        <v>200000</v>
      </c>
      <c r="F12" s="312">
        <f t="shared" si="2"/>
        <v>1100000</v>
      </c>
      <c r="G12" s="312">
        <f t="shared" si="2"/>
        <v>350000</v>
      </c>
      <c r="H12" s="312">
        <f t="shared" si="2"/>
        <v>350000</v>
      </c>
      <c r="I12" s="312">
        <f t="shared" si="2"/>
        <v>400000</v>
      </c>
      <c r="J12" s="312">
        <f t="shared" si="2"/>
        <v>400000</v>
      </c>
      <c r="K12" s="312">
        <f t="shared" si="2"/>
        <v>400000</v>
      </c>
      <c r="L12" s="312">
        <f t="shared" si="2"/>
        <v>1200000</v>
      </c>
      <c r="M12" s="312">
        <f t="shared" si="2"/>
        <v>450000</v>
      </c>
      <c r="N12" s="312">
        <f t="shared" si="2"/>
        <v>450000</v>
      </c>
      <c r="O12" s="313">
        <f t="shared" si="1"/>
        <v>5700000</v>
      </c>
      <c r="P12" s="742"/>
    </row>
    <row r="13" spans="1:16" ht="14.25" customHeight="1" thickBot="1">
      <c r="A13" s="5"/>
      <c r="B13" s="598"/>
      <c r="C13" s="1117"/>
      <c r="D13" s="1118"/>
      <c r="E13" s="1118"/>
      <c r="F13" s="1118"/>
      <c r="G13" s="1118"/>
      <c r="H13" s="1118"/>
      <c r="I13" s="1118"/>
      <c r="J13" s="1118"/>
      <c r="K13" s="1118"/>
      <c r="L13" s="1118"/>
      <c r="M13" s="1118"/>
      <c r="N13" s="1118"/>
      <c r="O13" s="1119"/>
      <c r="P13" s="742"/>
    </row>
    <row r="14" spans="1:16" ht="32.25" customHeight="1" thickBot="1">
      <c r="A14" s="5"/>
      <c r="B14" s="625" t="s">
        <v>141</v>
      </c>
      <c r="C14" s="318"/>
      <c r="D14" s="319"/>
      <c r="E14" s="319"/>
      <c r="F14" s="319"/>
      <c r="G14" s="320"/>
      <c r="H14" s="320"/>
      <c r="I14" s="320"/>
      <c r="J14" s="320"/>
      <c r="K14" s="320"/>
      <c r="L14" s="320"/>
      <c r="M14" s="320"/>
      <c r="N14" s="320"/>
      <c r="O14" s="321"/>
      <c r="P14" s="742" t="s">
        <v>415</v>
      </c>
    </row>
    <row r="15" spans="1:16" ht="32.25" customHeight="1">
      <c r="A15" s="5"/>
      <c r="B15" s="599" t="s">
        <v>473</v>
      </c>
      <c r="C15" s="606">
        <f>SUM(C17,C20,C23,C24,C27,C28,C29,C32,C35,C36,C37,C38,C39,C44)</f>
        <v>236500</v>
      </c>
      <c r="D15" s="301">
        <f t="shared" ref="D15:N15" si="3">SUM(D17,D20,D23,D24,D27,D28,D29,D32,D35,D36,D37,D38,D39,D44)</f>
        <v>230500</v>
      </c>
      <c r="E15" s="301">
        <f t="shared" si="3"/>
        <v>230500</v>
      </c>
      <c r="F15" s="301">
        <f t="shared" si="3"/>
        <v>230500</v>
      </c>
      <c r="G15" s="301">
        <f t="shared" si="3"/>
        <v>230500</v>
      </c>
      <c r="H15" s="301">
        <f t="shared" si="3"/>
        <v>230500</v>
      </c>
      <c r="I15" s="301">
        <f t="shared" si="3"/>
        <v>230500</v>
      </c>
      <c r="J15" s="301">
        <f t="shared" si="3"/>
        <v>230500</v>
      </c>
      <c r="K15" s="301">
        <f t="shared" si="3"/>
        <v>230500</v>
      </c>
      <c r="L15" s="301">
        <f t="shared" si="3"/>
        <v>230500</v>
      </c>
      <c r="M15" s="301">
        <f t="shared" si="3"/>
        <v>0</v>
      </c>
      <c r="N15" s="301">
        <f t="shared" si="3"/>
        <v>0</v>
      </c>
      <c r="O15" s="302">
        <f t="shared" ref="O15:O70" si="4">SUM(C15:N15)</f>
        <v>2311000</v>
      </c>
      <c r="P15" s="742"/>
    </row>
    <row r="16" spans="1:16" ht="39" customHeight="1" thickBot="1">
      <c r="A16" s="5"/>
      <c r="B16" s="594" t="s">
        <v>500</v>
      </c>
      <c r="C16" s="609">
        <f>C15*0.9</f>
        <v>212850</v>
      </c>
      <c r="D16" s="304">
        <f t="shared" ref="D16:N16" si="5">D15*0.9</f>
        <v>207450</v>
      </c>
      <c r="E16" s="304">
        <f t="shared" si="5"/>
        <v>207450</v>
      </c>
      <c r="F16" s="304">
        <f t="shared" si="5"/>
        <v>207450</v>
      </c>
      <c r="G16" s="304">
        <f t="shared" si="5"/>
        <v>207450</v>
      </c>
      <c r="H16" s="304">
        <f t="shared" si="5"/>
        <v>207450</v>
      </c>
      <c r="I16" s="304">
        <f t="shared" si="5"/>
        <v>207450</v>
      </c>
      <c r="J16" s="304">
        <f t="shared" si="5"/>
        <v>207450</v>
      </c>
      <c r="K16" s="304">
        <f t="shared" si="5"/>
        <v>207450</v>
      </c>
      <c r="L16" s="304">
        <f t="shared" si="5"/>
        <v>207450</v>
      </c>
      <c r="M16" s="304">
        <f t="shared" si="5"/>
        <v>0</v>
      </c>
      <c r="N16" s="304">
        <f t="shared" si="5"/>
        <v>0</v>
      </c>
      <c r="O16" s="305">
        <f t="shared" si="4"/>
        <v>2079900</v>
      </c>
      <c r="P16" s="742" t="s">
        <v>503</v>
      </c>
    </row>
    <row r="17" spans="1:16" ht="48.95" customHeight="1" thickBot="1">
      <c r="A17" s="5"/>
      <c r="B17" s="631" t="s">
        <v>474</v>
      </c>
      <c r="C17" s="610">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89">
        <f t="shared" si="4"/>
        <v>0</v>
      </c>
      <c r="P17" s="743"/>
    </row>
    <row r="18" spans="1:16" ht="48.95" customHeight="1">
      <c r="A18" s="5"/>
      <c r="B18" s="632" t="s">
        <v>475</v>
      </c>
      <c r="C18" s="588"/>
      <c r="D18" s="300"/>
      <c r="E18" s="300"/>
      <c r="F18" s="300"/>
      <c r="G18" s="300"/>
      <c r="H18" s="300"/>
      <c r="I18" s="300"/>
      <c r="J18" s="300"/>
      <c r="K18" s="300"/>
      <c r="L18" s="300"/>
      <c r="M18" s="300"/>
      <c r="N18" s="300"/>
      <c r="O18" s="490">
        <f t="shared" si="4"/>
        <v>0</v>
      </c>
      <c r="P18" s="622"/>
    </row>
    <row r="19" spans="1:16" ht="48.95" customHeight="1">
      <c r="A19" s="5"/>
      <c r="B19" s="632" t="s">
        <v>148</v>
      </c>
      <c r="C19" s="588"/>
      <c r="D19" s="300"/>
      <c r="E19" s="300"/>
      <c r="F19" s="300"/>
      <c r="G19" s="300"/>
      <c r="H19" s="300"/>
      <c r="I19" s="300"/>
      <c r="J19" s="300"/>
      <c r="K19" s="300"/>
      <c r="L19" s="300"/>
      <c r="M19" s="300"/>
      <c r="N19" s="300"/>
      <c r="O19" s="490">
        <f t="shared" si="4"/>
        <v>0</v>
      </c>
      <c r="P19" s="622"/>
    </row>
    <row r="20" spans="1:16" ht="69.75" customHeight="1">
      <c r="A20" s="5"/>
      <c r="B20" s="631" t="s">
        <v>476</v>
      </c>
      <c r="C20" s="588">
        <f>SUM(C21:C22)</f>
        <v>180500</v>
      </c>
      <c r="D20" s="300">
        <f t="shared" ref="D20:N20" si="7">SUM(D21:D22)</f>
        <v>180500</v>
      </c>
      <c r="E20" s="300">
        <f t="shared" si="7"/>
        <v>180500</v>
      </c>
      <c r="F20" s="300">
        <f t="shared" si="7"/>
        <v>180500</v>
      </c>
      <c r="G20" s="300">
        <f t="shared" si="7"/>
        <v>180500</v>
      </c>
      <c r="H20" s="300">
        <f t="shared" si="7"/>
        <v>180500</v>
      </c>
      <c r="I20" s="300">
        <f t="shared" si="7"/>
        <v>180500</v>
      </c>
      <c r="J20" s="300">
        <f t="shared" si="7"/>
        <v>180500</v>
      </c>
      <c r="K20" s="300">
        <f t="shared" si="7"/>
        <v>180500</v>
      </c>
      <c r="L20" s="300">
        <f t="shared" si="7"/>
        <v>180500</v>
      </c>
      <c r="M20" s="300">
        <f t="shared" si="7"/>
        <v>0</v>
      </c>
      <c r="N20" s="300">
        <f t="shared" si="7"/>
        <v>0</v>
      </c>
      <c r="O20" s="490">
        <f t="shared" si="4"/>
        <v>1805000</v>
      </c>
      <c r="P20" s="1122"/>
    </row>
    <row r="21" spans="1:16" ht="48.95" customHeight="1">
      <c r="A21" s="5"/>
      <c r="B21" s="632" t="s">
        <v>477</v>
      </c>
      <c r="C21" s="588">
        <v>180500</v>
      </c>
      <c r="D21" s="588">
        <v>180500</v>
      </c>
      <c r="E21" s="588">
        <v>180500</v>
      </c>
      <c r="F21" s="588">
        <v>180500</v>
      </c>
      <c r="G21" s="588">
        <v>180500</v>
      </c>
      <c r="H21" s="588">
        <v>180500</v>
      </c>
      <c r="I21" s="588">
        <v>180500</v>
      </c>
      <c r="J21" s="588">
        <v>180500</v>
      </c>
      <c r="K21" s="588">
        <v>180500</v>
      </c>
      <c r="L21" s="588">
        <v>180500</v>
      </c>
      <c r="M21" s="300"/>
      <c r="N21" s="300"/>
      <c r="O21" s="490">
        <f t="shared" si="4"/>
        <v>1805000</v>
      </c>
      <c r="P21" s="1122"/>
    </row>
    <row r="22" spans="1:16" ht="48.95" customHeight="1">
      <c r="A22" s="5"/>
      <c r="B22" s="632" t="s">
        <v>478</v>
      </c>
      <c r="C22" s="588"/>
      <c r="D22" s="300"/>
      <c r="E22" s="300"/>
      <c r="F22" s="300"/>
      <c r="G22" s="300"/>
      <c r="H22" s="300"/>
      <c r="I22" s="300"/>
      <c r="J22" s="300"/>
      <c r="K22" s="300"/>
      <c r="L22" s="300"/>
      <c r="M22" s="300"/>
      <c r="N22" s="300"/>
      <c r="O22" s="490">
        <f t="shared" si="4"/>
        <v>0</v>
      </c>
      <c r="P22" s="1122"/>
    </row>
    <row r="23" spans="1:16" ht="97.5" customHeight="1">
      <c r="A23" s="5"/>
      <c r="B23" s="631" t="s">
        <v>479</v>
      </c>
      <c r="C23" s="588">
        <v>6000</v>
      </c>
      <c r="D23" s="300"/>
      <c r="E23" s="300"/>
      <c r="F23" s="300"/>
      <c r="G23" s="300"/>
      <c r="H23" s="300"/>
      <c r="I23" s="300"/>
      <c r="J23" s="300"/>
      <c r="K23" s="300"/>
      <c r="L23" s="300"/>
      <c r="M23" s="300"/>
      <c r="N23" s="300"/>
      <c r="O23" s="490">
        <f t="shared" si="4"/>
        <v>6000</v>
      </c>
      <c r="P23" s="1122"/>
    </row>
    <row r="24" spans="1:16" ht="48.95" customHeight="1">
      <c r="A24" s="5"/>
      <c r="B24" s="631" t="s">
        <v>480</v>
      </c>
      <c r="C24" s="588">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0">
        <f t="shared" si="4"/>
        <v>0</v>
      </c>
      <c r="P24" s="622"/>
    </row>
    <row r="25" spans="1:16" ht="48.95" customHeight="1">
      <c r="A25" s="5"/>
      <c r="B25" s="632" t="s">
        <v>481</v>
      </c>
      <c r="C25" s="588"/>
      <c r="D25" s="300"/>
      <c r="E25" s="300"/>
      <c r="F25" s="300"/>
      <c r="G25" s="300"/>
      <c r="H25" s="300"/>
      <c r="I25" s="300"/>
      <c r="J25" s="300"/>
      <c r="K25" s="300"/>
      <c r="L25" s="300"/>
      <c r="M25" s="300"/>
      <c r="N25" s="300"/>
      <c r="O25" s="490">
        <f t="shared" si="4"/>
        <v>0</v>
      </c>
      <c r="P25" s="622"/>
    </row>
    <row r="26" spans="1:16" ht="48.95" customHeight="1">
      <c r="A26" s="5"/>
      <c r="B26" s="632" t="s">
        <v>482</v>
      </c>
      <c r="C26" s="588"/>
      <c r="D26" s="300"/>
      <c r="E26" s="300"/>
      <c r="F26" s="300"/>
      <c r="G26" s="300"/>
      <c r="H26" s="300"/>
      <c r="I26" s="300"/>
      <c r="J26" s="300"/>
      <c r="K26" s="300"/>
      <c r="L26" s="300"/>
      <c r="M26" s="300"/>
      <c r="N26" s="300"/>
      <c r="O26" s="490">
        <f t="shared" si="4"/>
        <v>0</v>
      </c>
      <c r="P26" s="622"/>
    </row>
    <row r="27" spans="1:16" ht="69.75" customHeight="1">
      <c r="A27" s="5"/>
      <c r="B27" s="631" t="s">
        <v>483</v>
      </c>
      <c r="C27" s="588"/>
      <c r="D27" s="300"/>
      <c r="E27" s="300"/>
      <c r="F27" s="300"/>
      <c r="G27" s="300"/>
      <c r="H27" s="300"/>
      <c r="I27" s="300"/>
      <c r="J27" s="300"/>
      <c r="K27" s="300"/>
      <c r="L27" s="300"/>
      <c r="M27" s="300"/>
      <c r="N27" s="300"/>
      <c r="O27" s="490">
        <f t="shared" si="4"/>
        <v>0</v>
      </c>
      <c r="P27" s="622"/>
    </row>
    <row r="28" spans="1:16" ht="78.75" customHeight="1">
      <c r="A28" s="5"/>
      <c r="B28" s="631" t="s">
        <v>484</v>
      </c>
      <c r="C28" s="588">
        <v>50000</v>
      </c>
      <c r="D28" s="588">
        <v>50000</v>
      </c>
      <c r="E28" s="588">
        <v>50000</v>
      </c>
      <c r="F28" s="588">
        <v>50000</v>
      </c>
      <c r="G28" s="588">
        <v>50000</v>
      </c>
      <c r="H28" s="588">
        <v>50000</v>
      </c>
      <c r="I28" s="588">
        <v>50000</v>
      </c>
      <c r="J28" s="588">
        <v>50000</v>
      </c>
      <c r="K28" s="588">
        <v>50000</v>
      </c>
      <c r="L28" s="588">
        <v>50000</v>
      </c>
      <c r="M28" s="300"/>
      <c r="N28" s="300"/>
      <c r="O28" s="490">
        <f t="shared" si="4"/>
        <v>500000</v>
      </c>
      <c r="P28" s="622"/>
    </row>
    <row r="29" spans="1:16" ht="48.95" customHeight="1">
      <c r="A29" s="5"/>
      <c r="B29" s="633" t="s">
        <v>485</v>
      </c>
      <c r="C29" s="588">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0">
        <f t="shared" si="4"/>
        <v>0</v>
      </c>
      <c r="P29" s="1122"/>
    </row>
    <row r="30" spans="1:16" ht="48.95" customHeight="1">
      <c r="A30" s="5"/>
      <c r="B30" s="632" t="s">
        <v>486</v>
      </c>
      <c r="C30" s="588"/>
      <c r="D30" s="300"/>
      <c r="E30" s="300"/>
      <c r="F30" s="300"/>
      <c r="G30" s="300"/>
      <c r="H30" s="300"/>
      <c r="I30" s="300"/>
      <c r="J30" s="300"/>
      <c r="K30" s="300"/>
      <c r="L30" s="300"/>
      <c r="M30" s="300"/>
      <c r="N30" s="300"/>
      <c r="O30" s="490">
        <f t="shared" si="4"/>
        <v>0</v>
      </c>
      <c r="P30" s="1122"/>
    </row>
    <row r="31" spans="1:16" ht="48.95" customHeight="1">
      <c r="A31" s="5"/>
      <c r="B31" s="632" t="s">
        <v>487</v>
      </c>
      <c r="C31" s="588"/>
      <c r="D31" s="300"/>
      <c r="E31" s="300"/>
      <c r="F31" s="300"/>
      <c r="G31" s="300"/>
      <c r="H31" s="300"/>
      <c r="I31" s="300"/>
      <c r="J31" s="300"/>
      <c r="K31" s="300"/>
      <c r="L31" s="300"/>
      <c r="M31" s="300"/>
      <c r="N31" s="300"/>
      <c r="O31" s="490">
        <f t="shared" si="4"/>
        <v>0</v>
      </c>
      <c r="P31" s="1122"/>
    </row>
    <row r="32" spans="1:16" ht="48.95" customHeight="1">
      <c r="A32" s="5"/>
      <c r="B32" s="633" t="s">
        <v>488</v>
      </c>
      <c r="C32" s="588">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0">
        <f t="shared" si="4"/>
        <v>0</v>
      </c>
      <c r="P32" s="622"/>
    </row>
    <row r="33" spans="1:16" ht="48.95" customHeight="1">
      <c r="A33" s="5"/>
      <c r="B33" s="632" t="s">
        <v>489</v>
      </c>
      <c r="C33" s="588"/>
      <c r="D33" s="300"/>
      <c r="E33" s="300"/>
      <c r="F33" s="300"/>
      <c r="G33" s="300"/>
      <c r="H33" s="300"/>
      <c r="I33" s="300"/>
      <c r="J33" s="300"/>
      <c r="K33" s="300"/>
      <c r="L33" s="300"/>
      <c r="M33" s="300"/>
      <c r="N33" s="300"/>
      <c r="O33" s="490">
        <f t="shared" si="4"/>
        <v>0</v>
      </c>
      <c r="P33" s="622"/>
    </row>
    <row r="34" spans="1:16" ht="48.95" customHeight="1">
      <c r="A34" s="5"/>
      <c r="B34" s="632" t="s">
        <v>490</v>
      </c>
      <c r="C34" s="588"/>
      <c r="D34" s="300"/>
      <c r="E34" s="300"/>
      <c r="F34" s="300"/>
      <c r="G34" s="300"/>
      <c r="H34" s="300"/>
      <c r="I34" s="300"/>
      <c r="J34" s="300"/>
      <c r="K34" s="300"/>
      <c r="L34" s="300"/>
      <c r="M34" s="300"/>
      <c r="N34" s="300"/>
      <c r="O34" s="490">
        <f t="shared" si="4"/>
        <v>0</v>
      </c>
      <c r="P34" s="622"/>
    </row>
    <row r="35" spans="1:16" ht="81" customHeight="1">
      <c r="A35" s="5"/>
      <c r="B35" s="631" t="s">
        <v>491</v>
      </c>
      <c r="C35" s="588"/>
      <c r="D35" s="300"/>
      <c r="E35" s="300"/>
      <c r="F35" s="300"/>
      <c r="G35" s="300"/>
      <c r="H35" s="300"/>
      <c r="I35" s="300"/>
      <c r="J35" s="300"/>
      <c r="K35" s="300"/>
      <c r="L35" s="300"/>
      <c r="M35" s="300"/>
      <c r="N35" s="300"/>
      <c r="O35" s="490">
        <f t="shared" si="4"/>
        <v>0</v>
      </c>
      <c r="P35" s="622"/>
    </row>
    <row r="36" spans="1:16" ht="69" customHeight="1">
      <c r="A36" s="5"/>
      <c r="B36" s="631" t="s">
        <v>492</v>
      </c>
      <c r="C36" s="588"/>
      <c r="D36" s="300"/>
      <c r="E36" s="300"/>
      <c r="F36" s="300"/>
      <c r="G36" s="300"/>
      <c r="H36" s="300"/>
      <c r="I36" s="300"/>
      <c r="J36" s="300"/>
      <c r="K36" s="300"/>
      <c r="L36" s="300"/>
      <c r="M36" s="300"/>
      <c r="N36" s="300"/>
      <c r="O36" s="490">
        <f t="shared" si="4"/>
        <v>0</v>
      </c>
      <c r="P36" s="622"/>
    </row>
    <row r="37" spans="1:16" ht="82.5" customHeight="1">
      <c r="A37" s="5"/>
      <c r="B37" s="631" t="s">
        <v>493</v>
      </c>
      <c r="C37" s="588"/>
      <c r="D37" s="300"/>
      <c r="E37" s="300"/>
      <c r="F37" s="300"/>
      <c r="G37" s="300"/>
      <c r="H37" s="300"/>
      <c r="I37" s="300"/>
      <c r="J37" s="300"/>
      <c r="K37" s="300"/>
      <c r="L37" s="300"/>
      <c r="M37" s="300"/>
      <c r="N37" s="300"/>
      <c r="O37" s="490">
        <f t="shared" si="4"/>
        <v>0</v>
      </c>
      <c r="P37" s="622"/>
    </row>
    <row r="38" spans="1:16" ht="62.25" customHeight="1">
      <c r="A38" s="5"/>
      <c r="B38" s="631" t="s">
        <v>494</v>
      </c>
      <c r="C38" s="588"/>
      <c r="D38" s="300"/>
      <c r="E38" s="300"/>
      <c r="F38" s="300"/>
      <c r="G38" s="300"/>
      <c r="H38" s="300"/>
      <c r="I38" s="300"/>
      <c r="J38" s="300"/>
      <c r="K38" s="300"/>
      <c r="L38" s="300"/>
      <c r="M38" s="300"/>
      <c r="N38" s="300"/>
      <c r="O38" s="490">
        <f t="shared" si="4"/>
        <v>0</v>
      </c>
      <c r="P38" s="622"/>
    </row>
    <row r="39" spans="1:16" ht="67.5" customHeight="1">
      <c r="A39" s="5"/>
      <c r="B39" s="631" t="s">
        <v>495</v>
      </c>
      <c r="C39" s="588">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0">
        <f t="shared" si="4"/>
        <v>0</v>
      </c>
      <c r="P39" s="622"/>
    </row>
    <row r="40" spans="1:16" ht="48.95" customHeight="1">
      <c r="A40" s="5"/>
      <c r="B40" s="632" t="s">
        <v>496</v>
      </c>
      <c r="C40" s="588"/>
      <c r="D40" s="300"/>
      <c r="E40" s="300"/>
      <c r="F40" s="300"/>
      <c r="G40" s="300"/>
      <c r="H40" s="300"/>
      <c r="I40" s="300"/>
      <c r="J40" s="300"/>
      <c r="K40" s="300"/>
      <c r="L40" s="300"/>
      <c r="M40" s="300"/>
      <c r="N40" s="300"/>
      <c r="O40" s="490">
        <f t="shared" si="4"/>
        <v>0</v>
      </c>
      <c r="P40" s="622"/>
    </row>
    <row r="41" spans="1:16" ht="48.95" customHeight="1">
      <c r="A41" s="5"/>
      <c r="B41" s="632" t="s">
        <v>497</v>
      </c>
      <c r="C41" s="588"/>
      <c r="D41" s="300"/>
      <c r="E41" s="300"/>
      <c r="F41" s="300"/>
      <c r="G41" s="300"/>
      <c r="H41" s="300"/>
      <c r="I41" s="300"/>
      <c r="J41" s="300"/>
      <c r="K41" s="300"/>
      <c r="L41" s="300"/>
      <c r="M41" s="300"/>
      <c r="N41" s="300"/>
      <c r="O41" s="490">
        <f t="shared" si="4"/>
        <v>0</v>
      </c>
      <c r="P41" s="622"/>
    </row>
    <row r="42" spans="1:16" ht="48.95" customHeight="1">
      <c r="A42" s="5"/>
      <c r="B42" s="632" t="s">
        <v>498</v>
      </c>
      <c r="C42" s="588"/>
      <c r="D42" s="300"/>
      <c r="E42" s="300"/>
      <c r="F42" s="300"/>
      <c r="G42" s="300"/>
      <c r="H42" s="300"/>
      <c r="I42" s="300"/>
      <c r="J42" s="300"/>
      <c r="K42" s="300"/>
      <c r="L42" s="300"/>
      <c r="M42" s="300"/>
      <c r="N42" s="300"/>
      <c r="O42" s="490">
        <f t="shared" si="4"/>
        <v>0</v>
      </c>
      <c r="P42" s="622"/>
    </row>
    <row r="43" spans="1:16" ht="48.95" customHeight="1">
      <c r="A43" s="5"/>
      <c r="B43" s="632" t="s">
        <v>499</v>
      </c>
      <c r="C43" s="588"/>
      <c r="D43" s="300"/>
      <c r="E43" s="300"/>
      <c r="F43" s="300"/>
      <c r="G43" s="300"/>
      <c r="H43" s="300"/>
      <c r="I43" s="300"/>
      <c r="J43" s="300"/>
      <c r="K43" s="300"/>
      <c r="L43" s="300"/>
      <c r="M43" s="300"/>
      <c r="N43" s="300"/>
      <c r="O43" s="490">
        <f t="shared" si="4"/>
        <v>0</v>
      </c>
      <c r="P43" s="622"/>
    </row>
    <row r="44" spans="1:16" ht="48.95" customHeight="1" thickBot="1">
      <c r="A44" s="5"/>
      <c r="B44" s="631" t="s">
        <v>151</v>
      </c>
      <c r="C44" s="588"/>
      <c r="D44" s="300"/>
      <c r="E44" s="300"/>
      <c r="F44" s="300"/>
      <c r="G44" s="300"/>
      <c r="H44" s="300"/>
      <c r="I44" s="300"/>
      <c r="J44" s="300"/>
      <c r="K44" s="306"/>
      <c r="L44" s="306"/>
      <c r="M44" s="306"/>
      <c r="N44" s="306"/>
      <c r="O44" s="490">
        <f t="shared" si="4"/>
        <v>0</v>
      </c>
      <c r="P44" s="629"/>
    </row>
    <row r="45" spans="1:16" ht="27" customHeight="1" thickBot="1">
      <c r="A45" s="5"/>
      <c r="B45" s="634" t="s">
        <v>155</v>
      </c>
      <c r="C45" s="636">
        <f>SUM(C46:C67)</f>
        <v>243000</v>
      </c>
      <c r="D45" s="637">
        <f t="shared" ref="D45:N45" si="12">SUM(D46:D67)</f>
        <v>268000</v>
      </c>
      <c r="E45" s="637">
        <f t="shared" si="12"/>
        <v>238000</v>
      </c>
      <c r="F45" s="637">
        <f>SUM(F46:F67)</f>
        <v>238000</v>
      </c>
      <c r="G45" s="637">
        <f t="shared" si="12"/>
        <v>238000</v>
      </c>
      <c r="H45" s="637">
        <f>SUM(H46:H67)</f>
        <v>238000</v>
      </c>
      <c r="I45" s="637">
        <f t="shared" si="12"/>
        <v>238000</v>
      </c>
      <c r="J45" s="637">
        <f t="shared" si="12"/>
        <v>238000</v>
      </c>
      <c r="K45" s="637">
        <f t="shared" si="12"/>
        <v>268000</v>
      </c>
      <c r="L45" s="637">
        <f t="shared" si="12"/>
        <v>238000</v>
      </c>
      <c r="M45" s="637">
        <f t="shared" si="12"/>
        <v>468500</v>
      </c>
      <c r="N45" s="637">
        <f t="shared" si="12"/>
        <v>458500</v>
      </c>
      <c r="O45" s="313">
        <f t="shared" si="4"/>
        <v>3372000</v>
      </c>
      <c r="P45" s="1038" t="s">
        <v>502</v>
      </c>
    </row>
    <row r="46" spans="1:16" ht="26.25" customHeight="1">
      <c r="A46" s="5"/>
      <c r="B46" s="626" t="s">
        <v>145</v>
      </c>
      <c r="C46" s="610"/>
      <c r="D46" s="310"/>
      <c r="E46" s="310"/>
      <c r="F46" s="310"/>
      <c r="G46" s="310"/>
      <c r="H46" s="310"/>
      <c r="I46" s="310"/>
      <c r="J46" s="310"/>
      <c r="K46" s="310"/>
      <c r="L46" s="310"/>
      <c r="M46" s="310"/>
      <c r="N46" s="310"/>
      <c r="O46" s="489">
        <f t="shared" si="4"/>
        <v>0</v>
      </c>
      <c r="P46" s="1039"/>
    </row>
    <row r="47" spans="1:16" ht="22.5" customHeight="1">
      <c r="A47" s="5"/>
      <c r="B47" s="627" t="s">
        <v>152</v>
      </c>
      <c r="C47" s="610"/>
      <c r="D47" s="310"/>
      <c r="E47" s="310"/>
      <c r="F47" s="310"/>
      <c r="G47" s="310"/>
      <c r="H47" s="310"/>
      <c r="I47" s="310"/>
      <c r="J47" s="310"/>
      <c r="K47" s="310"/>
      <c r="L47" s="310"/>
      <c r="M47" s="310"/>
      <c r="N47" s="310"/>
      <c r="O47" s="490">
        <f t="shared" si="4"/>
        <v>0</v>
      </c>
      <c r="P47" s="1039"/>
    </row>
    <row r="48" spans="1:16" ht="35.25" customHeight="1">
      <c r="A48" s="5"/>
      <c r="B48" s="627" t="s">
        <v>153</v>
      </c>
      <c r="C48" s="610"/>
      <c r="D48" s="310"/>
      <c r="E48" s="310"/>
      <c r="F48" s="310"/>
      <c r="G48" s="310"/>
      <c r="H48" s="310"/>
      <c r="I48" s="310"/>
      <c r="J48" s="310"/>
      <c r="K48" s="310"/>
      <c r="L48" s="310"/>
      <c r="M48" s="310"/>
      <c r="N48" s="310"/>
      <c r="O48" s="490">
        <f t="shared" si="4"/>
        <v>0</v>
      </c>
      <c r="P48" s="1039"/>
    </row>
    <row r="49" spans="1:16" ht="36" customHeight="1">
      <c r="A49" s="5"/>
      <c r="B49" s="627" t="s">
        <v>154</v>
      </c>
      <c r="C49" s="610"/>
      <c r="D49" s="310"/>
      <c r="E49" s="310"/>
      <c r="F49" s="310"/>
      <c r="G49" s="310"/>
      <c r="H49" s="310"/>
      <c r="I49" s="310"/>
      <c r="J49" s="310"/>
      <c r="K49" s="310"/>
      <c r="L49" s="310"/>
      <c r="M49" s="310"/>
      <c r="N49" s="310"/>
      <c r="O49" s="490">
        <f t="shared" si="4"/>
        <v>0</v>
      </c>
      <c r="P49" s="1039"/>
    </row>
    <row r="50" spans="1:16" ht="35.25" customHeight="1">
      <c r="A50" s="5"/>
      <c r="B50" s="627" t="s">
        <v>146</v>
      </c>
      <c r="C50" s="720">
        <v>10000</v>
      </c>
      <c r="D50" s="720">
        <v>10000</v>
      </c>
      <c r="E50" s="720">
        <v>10000</v>
      </c>
      <c r="F50" s="720">
        <v>10000</v>
      </c>
      <c r="G50" s="720">
        <v>10000</v>
      </c>
      <c r="H50" s="720">
        <v>10000</v>
      </c>
      <c r="I50" s="720">
        <v>10000</v>
      </c>
      <c r="J50" s="720">
        <v>10000</v>
      </c>
      <c r="K50" s="720">
        <v>10000</v>
      </c>
      <c r="L50" s="720">
        <v>10000</v>
      </c>
      <c r="M50" s="720">
        <v>10000</v>
      </c>
      <c r="N50" s="720">
        <v>10000</v>
      </c>
      <c r="O50" s="490">
        <f t="shared" si="4"/>
        <v>120000</v>
      </c>
      <c r="P50" s="1039"/>
    </row>
    <row r="51" spans="1:16" ht="22.5" customHeight="1">
      <c r="A51" s="5"/>
      <c r="B51" s="627" t="s">
        <v>149</v>
      </c>
      <c r="C51" s="720">
        <v>20000</v>
      </c>
      <c r="D51" s="720">
        <v>20000</v>
      </c>
      <c r="E51" s="720">
        <v>20000</v>
      </c>
      <c r="F51" s="720">
        <v>20000</v>
      </c>
      <c r="G51" s="720">
        <v>20000</v>
      </c>
      <c r="H51" s="720">
        <v>20000</v>
      </c>
      <c r="I51" s="720">
        <v>20000</v>
      </c>
      <c r="J51" s="720">
        <v>20000</v>
      </c>
      <c r="K51" s="720">
        <v>20000</v>
      </c>
      <c r="L51" s="720">
        <v>20000</v>
      </c>
      <c r="M51" s="720">
        <v>20000</v>
      </c>
      <c r="N51" s="720">
        <v>10000</v>
      </c>
      <c r="O51" s="490">
        <f t="shared" si="4"/>
        <v>230000</v>
      </c>
      <c r="P51" s="1039"/>
    </row>
    <row r="52" spans="1:16" ht="22.5" customHeight="1">
      <c r="A52" s="5"/>
      <c r="B52" s="627" t="s">
        <v>147</v>
      </c>
      <c r="C52" s="610"/>
      <c r="D52" s="310"/>
      <c r="E52" s="310"/>
      <c r="F52" s="310"/>
      <c r="G52" s="310"/>
      <c r="H52" s="310"/>
      <c r="I52" s="310"/>
      <c r="J52" s="310"/>
      <c r="K52" s="310"/>
      <c r="L52" s="310"/>
      <c r="M52" s="310">
        <v>50000</v>
      </c>
      <c r="N52" s="310">
        <v>50000</v>
      </c>
      <c r="O52" s="490">
        <f t="shared" si="4"/>
        <v>100000</v>
      </c>
      <c r="P52" s="1039"/>
    </row>
    <row r="53" spans="1:16" ht="37.5" customHeight="1">
      <c r="A53" s="5"/>
      <c r="B53" s="627" t="s">
        <v>412</v>
      </c>
      <c r="C53" s="610"/>
      <c r="D53" s="310">
        <v>30000</v>
      </c>
      <c r="E53" s="310"/>
      <c r="F53" s="310"/>
      <c r="G53" s="310"/>
      <c r="H53" s="310"/>
      <c r="I53" s="310"/>
      <c r="J53" s="310"/>
      <c r="K53" s="310">
        <v>30000</v>
      </c>
      <c r="L53" s="310"/>
      <c r="M53" s="310"/>
      <c r="N53" s="310"/>
      <c r="O53" s="490">
        <f t="shared" si="4"/>
        <v>60000</v>
      </c>
      <c r="P53" s="1039"/>
    </row>
    <row r="54" spans="1:16" ht="50.25" customHeight="1">
      <c r="A54" s="5"/>
      <c r="B54" s="627" t="s">
        <v>150</v>
      </c>
      <c r="C54" s="610">
        <v>8000</v>
      </c>
      <c r="D54" s="610">
        <v>8000</v>
      </c>
      <c r="E54" s="610">
        <v>8000</v>
      </c>
      <c r="F54" s="610">
        <v>8000</v>
      </c>
      <c r="G54" s="610">
        <v>8000</v>
      </c>
      <c r="H54" s="610">
        <v>8000</v>
      </c>
      <c r="I54" s="610">
        <v>8000</v>
      </c>
      <c r="J54" s="610">
        <v>8000</v>
      </c>
      <c r="K54" s="610">
        <v>8000</v>
      </c>
      <c r="L54" s="610">
        <v>8000</v>
      </c>
      <c r="M54" s="610">
        <v>8000</v>
      </c>
      <c r="N54" s="610">
        <v>8000</v>
      </c>
      <c r="O54" s="490">
        <f t="shared" si="4"/>
        <v>96000</v>
      </c>
      <c r="P54" s="1039"/>
    </row>
    <row r="55" spans="1:16" ht="37.5" customHeight="1">
      <c r="A55" s="5"/>
      <c r="B55" s="627" t="s">
        <v>413</v>
      </c>
      <c r="C55" s="610">
        <v>5000</v>
      </c>
      <c r="D55" s="610">
        <v>5000</v>
      </c>
      <c r="E55" s="610">
        <v>5000</v>
      </c>
      <c r="F55" s="610">
        <v>5000</v>
      </c>
      <c r="G55" s="610">
        <v>5000</v>
      </c>
      <c r="H55" s="610">
        <v>5000</v>
      </c>
      <c r="I55" s="610">
        <v>5000</v>
      </c>
      <c r="J55" s="610">
        <v>5000</v>
      </c>
      <c r="K55" s="610">
        <v>5000</v>
      </c>
      <c r="L55" s="610">
        <v>5000</v>
      </c>
      <c r="M55" s="610">
        <v>5000</v>
      </c>
      <c r="N55" s="610">
        <v>5000</v>
      </c>
      <c r="O55" s="490">
        <f t="shared" si="4"/>
        <v>60000</v>
      </c>
      <c r="P55" s="1039"/>
    </row>
    <row r="56" spans="1:16" ht="38.25" customHeight="1">
      <c r="A56" s="5"/>
      <c r="B56" s="627" t="s">
        <v>414</v>
      </c>
      <c r="C56" s="610"/>
      <c r="D56" s="310"/>
      <c r="E56" s="310"/>
      <c r="F56" s="310"/>
      <c r="G56" s="310"/>
      <c r="H56" s="310"/>
      <c r="I56" s="310"/>
      <c r="J56" s="310"/>
      <c r="K56" s="310"/>
      <c r="L56" s="310"/>
      <c r="M56" s="310"/>
      <c r="N56" s="310"/>
      <c r="O56" s="490">
        <f t="shared" si="4"/>
        <v>0</v>
      </c>
      <c r="P56" s="1039"/>
    </row>
    <row r="57" spans="1:16" ht="38.25" customHeight="1">
      <c r="A57" s="5"/>
      <c r="B57" s="627" t="s">
        <v>432</v>
      </c>
      <c r="C57" s="720">
        <v>10000</v>
      </c>
      <c r="D57" s="720">
        <v>10000</v>
      </c>
      <c r="E57" s="720">
        <v>10000</v>
      </c>
      <c r="F57" s="720">
        <v>10000</v>
      </c>
      <c r="G57" s="720">
        <v>10000</v>
      </c>
      <c r="H57" s="720">
        <v>10000</v>
      </c>
      <c r="I57" s="720">
        <v>10000</v>
      </c>
      <c r="J57" s="720">
        <v>10000</v>
      </c>
      <c r="K57" s="720">
        <v>10000</v>
      </c>
      <c r="L57" s="720">
        <v>10000</v>
      </c>
      <c r="M57" s="720">
        <v>10000</v>
      </c>
      <c r="N57" s="720">
        <v>10000</v>
      </c>
      <c r="O57" s="490">
        <f t="shared" si="4"/>
        <v>120000</v>
      </c>
      <c r="P57" s="1039"/>
    </row>
    <row r="58" spans="1:16" ht="39" customHeight="1">
      <c r="A58" s="5"/>
      <c r="B58" s="627" t="s">
        <v>148</v>
      </c>
      <c r="C58" s="610">
        <v>90000</v>
      </c>
      <c r="D58" s="310">
        <v>85000</v>
      </c>
      <c r="E58" s="310">
        <v>85000</v>
      </c>
      <c r="F58" s="310">
        <v>85000</v>
      </c>
      <c r="G58" s="310">
        <v>85000</v>
      </c>
      <c r="H58" s="310">
        <v>85000</v>
      </c>
      <c r="I58" s="310">
        <v>85000</v>
      </c>
      <c r="J58" s="310">
        <v>85000</v>
      </c>
      <c r="K58" s="310">
        <v>85000</v>
      </c>
      <c r="L58" s="310">
        <v>85000</v>
      </c>
      <c r="M58" s="310">
        <v>85000</v>
      </c>
      <c r="N58" s="310">
        <v>85000</v>
      </c>
      <c r="O58" s="490">
        <f t="shared" si="4"/>
        <v>1025000</v>
      </c>
      <c r="P58" s="1039"/>
    </row>
    <row r="59" spans="1:16" ht="22.5" customHeight="1">
      <c r="A59" s="5"/>
      <c r="B59" s="627" t="s">
        <v>142</v>
      </c>
      <c r="C59" s="610"/>
      <c r="D59" s="310"/>
      <c r="E59" s="310"/>
      <c r="F59" s="310"/>
      <c r="G59" s="310"/>
      <c r="H59" s="310"/>
      <c r="I59" s="310"/>
      <c r="J59" s="310"/>
      <c r="K59" s="310"/>
      <c r="L59" s="310"/>
      <c r="M59" s="310">
        <v>180500</v>
      </c>
      <c r="N59" s="310">
        <v>180500</v>
      </c>
      <c r="O59" s="490">
        <f t="shared" si="4"/>
        <v>361000</v>
      </c>
      <c r="P59" s="1039"/>
    </row>
    <row r="60" spans="1:16" ht="46.5" customHeight="1">
      <c r="A60" s="5"/>
      <c r="B60" s="627" t="s">
        <v>143</v>
      </c>
      <c r="C60" s="610"/>
      <c r="D60" s="310"/>
      <c r="E60" s="310"/>
      <c r="F60" s="310"/>
      <c r="G60" s="310"/>
      <c r="H60" s="310"/>
      <c r="I60" s="310"/>
      <c r="J60" s="310"/>
      <c r="K60" s="310"/>
      <c r="L60" s="310"/>
      <c r="M60" s="310"/>
      <c r="N60" s="310"/>
      <c r="O60" s="490">
        <f t="shared" si="4"/>
        <v>0</v>
      </c>
      <c r="P60" s="1039"/>
    </row>
    <row r="61" spans="1:16" ht="22.5" customHeight="1">
      <c r="A61" s="5"/>
      <c r="B61" s="627" t="s">
        <v>144</v>
      </c>
      <c r="C61" s="610"/>
      <c r="D61" s="310"/>
      <c r="E61" s="310"/>
      <c r="F61" s="310"/>
      <c r="G61" s="310"/>
      <c r="H61" s="310"/>
      <c r="I61" s="310"/>
      <c r="J61" s="310"/>
      <c r="K61" s="310"/>
      <c r="L61" s="310"/>
      <c r="M61" s="310"/>
      <c r="N61" s="310"/>
      <c r="O61" s="490">
        <f t="shared" si="4"/>
        <v>0</v>
      </c>
      <c r="P61" s="1039"/>
    </row>
    <row r="62" spans="1:16" ht="32.25" customHeight="1">
      <c r="A62" s="5"/>
      <c r="B62" s="628" t="s">
        <v>431</v>
      </c>
      <c r="C62" s="610">
        <v>100000</v>
      </c>
      <c r="D62" s="610">
        <v>100000</v>
      </c>
      <c r="E62" s="610">
        <v>100000</v>
      </c>
      <c r="F62" s="610">
        <v>100000</v>
      </c>
      <c r="G62" s="610">
        <v>100000</v>
      </c>
      <c r="H62" s="610">
        <v>100000</v>
      </c>
      <c r="I62" s="610">
        <v>100000</v>
      </c>
      <c r="J62" s="610">
        <v>100000</v>
      </c>
      <c r="K62" s="610">
        <v>100000</v>
      </c>
      <c r="L62" s="610">
        <v>100000</v>
      </c>
      <c r="M62" s="610">
        <v>100000</v>
      </c>
      <c r="N62" s="610">
        <v>100000</v>
      </c>
      <c r="O62" s="490">
        <f t="shared" si="4"/>
        <v>1200000</v>
      </c>
      <c r="P62" s="622"/>
    </row>
    <row r="63" spans="1:16" ht="22.5" customHeight="1">
      <c r="A63" s="5"/>
      <c r="B63" s="600"/>
      <c r="C63" s="610"/>
      <c r="D63" s="310"/>
      <c r="E63" s="310"/>
      <c r="F63" s="310"/>
      <c r="G63" s="310"/>
      <c r="H63" s="310"/>
      <c r="I63" s="310"/>
      <c r="J63" s="310"/>
      <c r="K63" s="310"/>
      <c r="L63" s="310"/>
      <c r="M63" s="310"/>
      <c r="N63" s="310"/>
      <c r="O63" s="490">
        <f t="shared" si="4"/>
        <v>0</v>
      </c>
      <c r="P63" s="622"/>
    </row>
    <row r="64" spans="1:16" ht="27" customHeight="1">
      <c r="A64" s="5"/>
      <c r="B64" s="600"/>
      <c r="C64" s="610"/>
      <c r="D64" s="310"/>
      <c r="E64" s="310"/>
      <c r="F64" s="310"/>
      <c r="G64" s="310"/>
      <c r="H64" s="310"/>
      <c r="I64" s="310"/>
      <c r="J64" s="310"/>
      <c r="K64" s="310"/>
      <c r="L64" s="310"/>
      <c r="M64" s="310"/>
      <c r="N64" s="310"/>
      <c r="O64" s="490">
        <f t="shared" si="4"/>
        <v>0</v>
      </c>
      <c r="P64" s="622"/>
    </row>
    <row r="65" spans="1:16" ht="23.25" customHeight="1">
      <c r="A65" s="5"/>
      <c r="B65" s="600"/>
      <c r="C65" s="610"/>
      <c r="D65" s="310"/>
      <c r="E65" s="310"/>
      <c r="F65" s="310"/>
      <c r="G65" s="310"/>
      <c r="H65" s="310"/>
      <c r="I65" s="310"/>
      <c r="J65" s="310"/>
      <c r="K65" s="310"/>
      <c r="L65" s="310"/>
      <c r="M65" s="310"/>
      <c r="N65" s="310"/>
      <c r="O65" s="490">
        <f t="shared" si="4"/>
        <v>0</v>
      </c>
      <c r="P65" s="622"/>
    </row>
    <row r="66" spans="1:16" ht="27" customHeight="1">
      <c r="A66" s="5"/>
      <c r="B66" s="600"/>
      <c r="C66" s="588"/>
      <c r="D66" s="300"/>
      <c r="E66" s="300"/>
      <c r="F66" s="300"/>
      <c r="G66" s="300"/>
      <c r="H66" s="300"/>
      <c r="I66" s="300"/>
      <c r="J66" s="300"/>
      <c r="K66" s="300"/>
      <c r="L66" s="300"/>
      <c r="M66" s="300"/>
      <c r="N66" s="300"/>
      <c r="O66" s="490">
        <f t="shared" si="4"/>
        <v>0</v>
      </c>
      <c r="P66" s="622"/>
    </row>
    <row r="67" spans="1:16" ht="39" customHeight="1" thickBot="1">
      <c r="A67" s="5"/>
      <c r="B67" s="601" t="s">
        <v>151</v>
      </c>
      <c r="C67" s="609"/>
      <c r="D67" s="304"/>
      <c r="E67" s="304"/>
      <c r="F67" s="304"/>
      <c r="G67" s="304"/>
      <c r="H67" s="304"/>
      <c r="I67" s="304"/>
      <c r="J67" s="304"/>
      <c r="K67" s="304"/>
      <c r="L67" s="304"/>
      <c r="M67" s="304"/>
      <c r="N67" s="304"/>
      <c r="O67" s="305">
        <f t="shared" si="4"/>
        <v>0</v>
      </c>
      <c r="P67" s="1116" t="s">
        <v>312</v>
      </c>
    </row>
    <row r="68" spans="1:16" ht="48.75" customHeight="1" thickBot="1">
      <c r="A68" s="5"/>
      <c r="B68" s="597" t="s">
        <v>156</v>
      </c>
      <c r="C68" s="608">
        <f>SUM(C15,C45)</f>
        <v>479500</v>
      </c>
      <c r="D68" s="312">
        <f t="shared" ref="D68:N68" si="13">SUM(D15,D45)</f>
        <v>498500</v>
      </c>
      <c r="E68" s="312">
        <f t="shared" si="13"/>
        <v>468500</v>
      </c>
      <c r="F68" s="312">
        <f>SUM(F15,F45)</f>
        <v>468500</v>
      </c>
      <c r="G68" s="312">
        <f>SUM(G15,G45)</f>
        <v>468500</v>
      </c>
      <c r="H68" s="312">
        <f t="shared" si="13"/>
        <v>468500</v>
      </c>
      <c r="I68" s="312">
        <f t="shared" si="13"/>
        <v>468500</v>
      </c>
      <c r="J68" s="312">
        <f t="shared" si="13"/>
        <v>468500</v>
      </c>
      <c r="K68" s="312">
        <f t="shared" si="13"/>
        <v>498500</v>
      </c>
      <c r="L68" s="312">
        <f t="shared" si="13"/>
        <v>468500</v>
      </c>
      <c r="M68" s="312">
        <f t="shared" si="13"/>
        <v>468500</v>
      </c>
      <c r="N68" s="312">
        <f t="shared" si="13"/>
        <v>458500</v>
      </c>
      <c r="O68" s="313">
        <f t="shared" si="4"/>
        <v>5683000</v>
      </c>
      <c r="P68" s="1116"/>
    </row>
    <row r="69" spans="1:16" ht="57.75" customHeight="1">
      <c r="A69" s="5"/>
      <c r="B69" s="602" t="s">
        <v>157</v>
      </c>
      <c r="C69" s="611">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120" t="s">
        <v>316</v>
      </c>
    </row>
    <row r="70" spans="1:16" ht="40.5" customHeight="1" thickBot="1">
      <c r="A70" s="5"/>
      <c r="B70" s="603" t="s">
        <v>158</v>
      </c>
      <c r="C70" s="588">
        <f>SUM(C6:C10)-SUM(C17,C20,C23,C24,C27,C28,C29,C32,C35,C36,C37,C38,C39)-SUM(C46:C66)</f>
        <v>-279500</v>
      </c>
      <c r="D70" s="300">
        <f t="shared" ref="D70:N70" si="15">SUM(D6:D10)-SUM(D17,D20,D23,D24,D27,D28,D29,D32,D35,D36,D37,D38,D39)-SUM(D46:D66)</f>
        <v>-298500</v>
      </c>
      <c r="E70" s="300">
        <f t="shared" si="15"/>
        <v>-268500</v>
      </c>
      <c r="F70" s="300">
        <f t="shared" si="15"/>
        <v>631500</v>
      </c>
      <c r="G70" s="300">
        <f t="shared" si="15"/>
        <v>-118500</v>
      </c>
      <c r="H70" s="300">
        <f t="shared" si="15"/>
        <v>-118500</v>
      </c>
      <c r="I70" s="300">
        <f t="shared" si="15"/>
        <v>-68500</v>
      </c>
      <c r="J70" s="300">
        <f t="shared" si="15"/>
        <v>-68500</v>
      </c>
      <c r="K70" s="300">
        <f t="shared" si="15"/>
        <v>-98500</v>
      </c>
      <c r="L70" s="300">
        <f t="shared" si="15"/>
        <v>731500</v>
      </c>
      <c r="M70" s="300">
        <f t="shared" si="15"/>
        <v>-18500</v>
      </c>
      <c r="N70" s="300">
        <f t="shared" si="15"/>
        <v>-8500</v>
      </c>
      <c r="O70" s="303">
        <f t="shared" si="4"/>
        <v>17000</v>
      </c>
      <c r="P70" s="1121"/>
    </row>
    <row r="71" spans="1:16" ht="45" customHeight="1" thickBot="1">
      <c r="A71" s="5"/>
      <c r="B71" s="594" t="s">
        <v>159</v>
      </c>
      <c r="C71" s="609">
        <f>C5+C12-C68+C69</f>
        <v>800500</v>
      </c>
      <c r="D71" s="304">
        <f t="shared" ref="D71:N71" si="16">D5+D12-D68+D69</f>
        <v>502000</v>
      </c>
      <c r="E71" s="304">
        <f t="shared" si="16"/>
        <v>233500</v>
      </c>
      <c r="F71" s="304">
        <f t="shared" si="16"/>
        <v>865000</v>
      </c>
      <c r="G71" s="304">
        <f t="shared" si="16"/>
        <v>746500</v>
      </c>
      <c r="H71" s="304">
        <f t="shared" si="16"/>
        <v>628000</v>
      </c>
      <c r="I71" s="304">
        <f t="shared" si="16"/>
        <v>559500</v>
      </c>
      <c r="J71" s="304">
        <f t="shared" si="16"/>
        <v>491000</v>
      </c>
      <c r="K71" s="304">
        <f t="shared" si="16"/>
        <v>392500</v>
      </c>
      <c r="L71" s="304">
        <f t="shared" si="16"/>
        <v>1124000</v>
      </c>
      <c r="M71" s="304">
        <f t="shared" si="16"/>
        <v>1105500</v>
      </c>
      <c r="N71" s="304">
        <f t="shared" si="16"/>
        <v>1097000</v>
      </c>
      <c r="O71" s="316">
        <f>N71</f>
        <v>1097000</v>
      </c>
      <c r="P71" s="623" t="s">
        <v>315</v>
      </c>
    </row>
    <row r="72" spans="1:16" ht="15">
      <c r="B72" s="453"/>
      <c r="C72" s="454"/>
      <c r="D72" s="454"/>
      <c r="E72" s="454"/>
      <c r="F72" s="454"/>
      <c r="G72" s="455"/>
      <c r="H72" s="455"/>
      <c r="I72" s="455"/>
      <c r="J72" s="455"/>
      <c r="K72" s="455"/>
      <c r="L72" s="455"/>
      <c r="M72" s="455"/>
      <c r="N72" s="455"/>
      <c r="O72" s="456"/>
    </row>
    <row r="73" spans="1:16" ht="168" customHeight="1">
      <c r="B73" s="1114" t="s">
        <v>507</v>
      </c>
      <c r="C73" s="1114"/>
      <c r="D73" s="1114"/>
      <c r="E73" s="1114"/>
      <c r="F73" s="1114"/>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12" t="s">
        <v>463</v>
      </c>
      <c r="C75" s="1112"/>
      <c r="D75" s="1112"/>
      <c r="E75" s="1112"/>
      <c r="F75" s="1112"/>
      <c r="G75" s="460"/>
      <c r="H75" s="460"/>
      <c r="I75" s="460"/>
      <c r="J75" s="460"/>
      <c r="K75" s="460"/>
      <c r="L75" s="460"/>
      <c r="M75" s="460"/>
      <c r="N75" s="460"/>
      <c r="O75" s="460"/>
    </row>
    <row r="76" spans="1:16" ht="25.5" customHeight="1">
      <c r="B76" s="1112" t="s">
        <v>464</v>
      </c>
      <c r="C76" s="1112"/>
      <c r="D76" s="1112"/>
      <c r="E76" s="1112"/>
      <c r="F76" s="1112"/>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3" t="s">
        <v>426</v>
      </c>
      <c r="C78" s="1113"/>
      <c r="D78" s="1113"/>
      <c r="E78" s="1113"/>
      <c r="F78" s="1113"/>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2" t="s">
        <v>463</v>
      </c>
      <c r="C81" s="1112"/>
      <c r="D81" s="1112"/>
      <c r="E81" s="1112"/>
      <c r="F81" s="1112"/>
      <c r="G81" s="460"/>
      <c r="H81" s="460"/>
      <c r="I81" s="460"/>
      <c r="J81" s="460"/>
      <c r="K81" s="460"/>
      <c r="L81" s="460"/>
      <c r="M81" s="460"/>
      <c r="N81" s="460"/>
      <c r="O81" s="46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H10 I6:N10"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view="pageBreakPreview" topLeftCell="A42" zoomScale="60" zoomScaleNormal="60" workbookViewId="0">
      <selection activeCell="B8" sqref="B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6" t="s">
        <v>506</v>
      </c>
      <c r="C1" s="1127"/>
      <c r="D1" s="1128"/>
      <c r="E1" s="185" t="s">
        <v>207</v>
      </c>
      <c r="F1" s="13"/>
      <c r="G1" s="13"/>
      <c r="H1" s="13"/>
    </row>
    <row r="2" spans="2:8" ht="23.25" customHeight="1" thickBot="1">
      <c r="B2" s="441" t="s">
        <v>160</v>
      </c>
      <c r="C2" s="326" t="s">
        <v>238</v>
      </c>
      <c r="D2" s="465" t="s">
        <v>504</v>
      </c>
      <c r="E2" s="129" t="s">
        <v>290</v>
      </c>
    </row>
    <row r="3" spans="2:8" ht="23.25" customHeight="1" thickBot="1">
      <c r="B3" s="442" t="s">
        <v>161</v>
      </c>
      <c r="C3" s="443">
        <v>2020</v>
      </c>
      <c r="D3" s="466">
        <v>2021</v>
      </c>
      <c r="E3" s="500"/>
    </row>
    <row r="4" spans="2:8" ht="23.25" customHeight="1" thickBot="1">
      <c r="B4" s="1129" t="s">
        <v>132</v>
      </c>
      <c r="C4" s="1130"/>
      <c r="D4" s="1131"/>
      <c r="E4" s="1038" t="s">
        <v>527</v>
      </c>
    </row>
    <row r="5" spans="2:8" ht="23.25" customHeight="1" thickBot="1">
      <c r="B5" s="444" t="s">
        <v>133</v>
      </c>
      <c r="C5" s="445">
        <f>'10.b-Cash-flow 2. év'!N71</f>
        <v>1097000</v>
      </c>
      <c r="D5" s="467">
        <f>C72</f>
        <v>1110000</v>
      </c>
      <c r="E5" s="1039"/>
    </row>
    <row r="6" spans="2:8" ht="23.25" customHeight="1">
      <c r="B6" s="494" t="s">
        <v>134</v>
      </c>
      <c r="C6" s="495">
        <v>6000000</v>
      </c>
      <c r="D6" s="496">
        <v>6500000</v>
      </c>
      <c r="E6" s="1039"/>
    </row>
    <row r="7" spans="2:8" ht="23.25" customHeight="1">
      <c r="B7" s="558" t="s">
        <v>135</v>
      </c>
      <c r="C7" s="559"/>
      <c r="D7" s="502"/>
      <c r="E7" s="1039"/>
    </row>
    <row r="8" spans="2:8" ht="23.25" customHeight="1">
      <c r="B8" s="558" t="s">
        <v>136</v>
      </c>
      <c r="C8" s="559"/>
      <c r="D8" s="502"/>
      <c r="E8" s="1039"/>
    </row>
    <row r="9" spans="2:8" ht="23.25" customHeight="1">
      <c r="B9" s="558" t="s">
        <v>137</v>
      </c>
      <c r="C9" s="559"/>
      <c r="D9" s="502"/>
      <c r="E9" s="1039"/>
    </row>
    <row r="10" spans="2:8" ht="23.25" customHeight="1">
      <c r="B10" s="558" t="s">
        <v>138</v>
      </c>
      <c r="C10" s="559"/>
      <c r="D10" s="502"/>
      <c r="E10" s="1039"/>
    </row>
    <row r="11" spans="2:8" ht="23.25" customHeight="1">
      <c r="B11" s="558" t="s">
        <v>139</v>
      </c>
      <c r="C11" s="559"/>
      <c r="D11" s="502"/>
      <c r="E11" s="1039"/>
    </row>
    <row r="12" spans="2:8" ht="23.25" customHeight="1" thickBot="1">
      <c r="B12" s="446" t="s">
        <v>140</v>
      </c>
      <c r="C12" s="447">
        <f>SUM(C6:C11)</f>
        <v>6000000</v>
      </c>
      <c r="D12" s="468">
        <f>SUM(D6:D11)</f>
        <v>6500000</v>
      </c>
      <c r="E12" s="1039"/>
    </row>
    <row r="13" spans="2:8" ht="8.25" customHeight="1" thickBot="1">
      <c r="B13" s="448"/>
      <c r="C13" s="449"/>
      <c r="D13" s="469"/>
      <c r="E13" s="307"/>
    </row>
    <row r="14" spans="2:8" ht="19.5" customHeight="1" thickBot="1">
      <c r="B14" s="1132" t="s">
        <v>141</v>
      </c>
      <c r="C14" s="1133"/>
      <c r="D14" s="1134"/>
      <c r="E14" s="307"/>
    </row>
    <row r="15" spans="2:8" ht="29.25" customHeight="1" thickBot="1">
      <c r="B15" s="560" t="s">
        <v>473</v>
      </c>
      <c r="C15" s="574">
        <f>SUM(C17,C20,C23,C24,C27,C28,C29,C32,,C35,C36,C37,C38,C39,C44)</f>
        <v>0</v>
      </c>
      <c r="D15" s="575">
        <f>SUM(D17,D20,D23,D24,D27,D28,D29,D32,,D35,D36,D37,D38,D39,D44)</f>
        <v>0</v>
      </c>
      <c r="E15" s="307" t="s">
        <v>528</v>
      </c>
    </row>
    <row r="16" spans="2:8" ht="39.75" customHeight="1" thickBot="1">
      <c r="B16" s="561" t="s">
        <v>500</v>
      </c>
      <c r="C16" s="576">
        <f>C15*0.9</f>
        <v>0</v>
      </c>
      <c r="D16" s="577">
        <f>D15*0.9</f>
        <v>0</v>
      </c>
      <c r="E16" s="307"/>
    </row>
    <row r="17" spans="2:5" ht="48.75" customHeight="1">
      <c r="B17" s="562" t="s">
        <v>474</v>
      </c>
      <c r="C17" s="578">
        <f>SUM(C18:C19)</f>
        <v>0</v>
      </c>
      <c r="D17" s="579">
        <f>SUM(D18:D19)</f>
        <v>0</v>
      </c>
      <c r="E17" s="307"/>
    </row>
    <row r="18" spans="2:5" ht="34.5" customHeight="1">
      <c r="B18" s="563" t="s">
        <v>475</v>
      </c>
      <c r="C18" s="580"/>
      <c r="D18" s="470"/>
      <c r="E18" s="307"/>
    </row>
    <row r="19" spans="2:5" ht="33" customHeight="1">
      <c r="B19" s="563" t="s">
        <v>148</v>
      </c>
      <c r="C19" s="580"/>
      <c r="D19" s="470"/>
      <c r="E19" s="307"/>
    </row>
    <row r="20" spans="2:5" ht="48.75" customHeight="1">
      <c r="B20" s="564" t="s">
        <v>476</v>
      </c>
      <c r="C20" s="580">
        <f>SUM(C21:C22)</f>
        <v>0</v>
      </c>
      <c r="D20" s="581">
        <f>SUM(D21:D22)</f>
        <v>0</v>
      </c>
      <c r="E20" s="307"/>
    </row>
    <row r="21" spans="2:5" ht="25.5" customHeight="1">
      <c r="B21" s="563" t="s">
        <v>477</v>
      </c>
      <c r="C21" s="580"/>
      <c r="D21" s="470"/>
      <c r="E21" s="307"/>
    </row>
    <row r="22" spans="2:5" ht="25.5" customHeight="1">
      <c r="B22" s="563" t="s">
        <v>478</v>
      </c>
      <c r="C22" s="580"/>
      <c r="D22" s="470"/>
      <c r="E22" s="307"/>
    </row>
    <row r="23" spans="2:5" ht="66" customHeight="1">
      <c r="B23" s="565" t="s">
        <v>479</v>
      </c>
      <c r="C23" s="580"/>
      <c r="D23" s="470"/>
      <c r="E23" s="307"/>
    </row>
    <row r="24" spans="2:5" ht="39.75" customHeight="1">
      <c r="B24" s="564" t="s">
        <v>480</v>
      </c>
      <c r="C24" s="580">
        <f>SUM(C25:C26)</f>
        <v>0</v>
      </c>
      <c r="D24" s="581">
        <f>SUM(D25:D26)</f>
        <v>0</v>
      </c>
      <c r="E24" s="307"/>
    </row>
    <row r="25" spans="2:5" ht="33" customHeight="1">
      <c r="B25" s="563" t="s">
        <v>481</v>
      </c>
      <c r="C25" s="580"/>
      <c r="D25" s="470"/>
      <c r="E25" s="307"/>
    </row>
    <row r="26" spans="2:5" ht="33.75" customHeight="1">
      <c r="B26" s="563" t="s">
        <v>482</v>
      </c>
      <c r="C26" s="580"/>
      <c r="D26" s="470"/>
      <c r="E26" s="307"/>
    </row>
    <row r="27" spans="2:5" ht="63.75" customHeight="1">
      <c r="B27" s="565" t="s">
        <v>483</v>
      </c>
      <c r="C27" s="580"/>
      <c r="D27" s="470"/>
      <c r="E27" s="307"/>
    </row>
    <row r="28" spans="2:5" ht="46.5" customHeight="1">
      <c r="B28" s="565" t="s">
        <v>484</v>
      </c>
      <c r="C28" s="580"/>
      <c r="D28" s="470"/>
      <c r="E28" s="307"/>
    </row>
    <row r="29" spans="2:5" ht="36.6" customHeight="1">
      <c r="B29" s="566" t="s">
        <v>485</v>
      </c>
      <c r="C29" s="580">
        <f>SUM(C30:C31)</f>
        <v>0</v>
      </c>
      <c r="D29" s="581">
        <f>SUM(D30:D31)</f>
        <v>0</v>
      </c>
      <c r="E29" s="307"/>
    </row>
    <row r="30" spans="2:5" ht="52.5" customHeight="1">
      <c r="B30" s="563" t="s">
        <v>486</v>
      </c>
      <c r="C30" s="580"/>
      <c r="D30" s="470"/>
      <c r="E30" s="307"/>
    </row>
    <row r="31" spans="2:5" ht="37.9" customHeight="1">
      <c r="B31" s="563" t="s">
        <v>487</v>
      </c>
      <c r="C31" s="580"/>
      <c r="D31" s="470"/>
      <c r="E31" s="307"/>
    </row>
    <row r="32" spans="2:5" ht="33.75" customHeight="1">
      <c r="B32" s="566" t="s">
        <v>488</v>
      </c>
      <c r="C32" s="580">
        <f>SUM(C33:C34)</f>
        <v>0</v>
      </c>
      <c r="D32" s="581">
        <f>SUM(D33:D34)</f>
        <v>0</v>
      </c>
      <c r="E32" s="307"/>
    </row>
    <row r="33" spans="2:5" ht="34.5" customHeight="1">
      <c r="B33" s="563" t="s">
        <v>489</v>
      </c>
      <c r="C33" s="580"/>
      <c r="D33" s="470"/>
      <c r="E33" s="307"/>
    </row>
    <row r="34" spans="2:5" ht="34.5" customHeight="1">
      <c r="B34" s="563" t="s">
        <v>490</v>
      </c>
      <c r="C34" s="582"/>
      <c r="D34" s="547"/>
      <c r="E34" s="307"/>
    </row>
    <row r="35" spans="2:5" ht="63.75" customHeight="1">
      <c r="B35" s="565" t="s">
        <v>491</v>
      </c>
      <c r="C35" s="582"/>
      <c r="D35" s="547"/>
      <c r="E35" s="307"/>
    </row>
    <row r="36" spans="2:5" ht="53.25" customHeight="1">
      <c r="B36" s="565" t="s">
        <v>492</v>
      </c>
      <c r="C36" s="582"/>
      <c r="D36" s="547"/>
      <c r="E36" s="307"/>
    </row>
    <row r="37" spans="2:5" ht="64.5" customHeight="1">
      <c r="B37" s="565" t="s">
        <v>493</v>
      </c>
      <c r="C37" s="582"/>
      <c r="D37" s="547"/>
      <c r="E37" s="307"/>
    </row>
    <row r="38" spans="2:5" ht="60.75" customHeight="1">
      <c r="B38" s="565" t="s">
        <v>494</v>
      </c>
      <c r="C38" s="582"/>
      <c r="D38" s="547"/>
      <c r="E38" s="307"/>
    </row>
    <row r="39" spans="2:5" ht="34.5" customHeight="1">
      <c r="B39" s="564" t="s">
        <v>495</v>
      </c>
      <c r="C39" s="582">
        <f>SUM(C40:C43)</f>
        <v>0</v>
      </c>
      <c r="D39" s="583">
        <f>SUM(D40:D43)</f>
        <v>0</v>
      </c>
      <c r="E39" s="307"/>
    </row>
    <row r="40" spans="2:5" ht="34.5" customHeight="1">
      <c r="B40" s="563" t="s">
        <v>496</v>
      </c>
      <c r="C40" s="582"/>
      <c r="D40" s="547"/>
      <c r="E40" s="307"/>
    </row>
    <row r="41" spans="2:5" ht="34.5" customHeight="1">
      <c r="B41" s="563" t="s">
        <v>497</v>
      </c>
      <c r="C41" s="582"/>
      <c r="D41" s="547"/>
      <c r="E41" s="307"/>
    </row>
    <row r="42" spans="2:5" ht="34.5" customHeight="1">
      <c r="B42" s="563" t="s">
        <v>498</v>
      </c>
      <c r="C42" s="582"/>
      <c r="D42" s="547"/>
      <c r="E42" s="307"/>
    </row>
    <row r="43" spans="2:5" ht="31.5" customHeight="1">
      <c r="B43" s="563" t="s">
        <v>499</v>
      </c>
      <c r="C43" s="580"/>
      <c r="D43" s="470"/>
      <c r="E43" s="307"/>
    </row>
    <row r="44" spans="2:5" ht="31.5" customHeight="1" thickBot="1">
      <c r="B44" s="567" t="s">
        <v>151</v>
      </c>
      <c r="C44" s="584"/>
      <c r="D44" s="471"/>
      <c r="E44" s="307"/>
    </row>
    <row r="45" spans="2:5" ht="27" customHeight="1" thickBot="1">
      <c r="B45" s="568" t="s">
        <v>155</v>
      </c>
      <c r="C45" s="585">
        <f>SUM(C46:C68)</f>
        <v>5987000</v>
      </c>
      <c r="D45" s="488">
        <f>SUM(D46:D68)</f>
        <v>6187000</v>
      </c>
      <c r="E45" s="307"/>
    </row>
    <row r="46" spans="2:5" ht="18.75" customHeight="1">
      <c r="B46" s="491" t="s">
        <v>145</v>
      </c>
      <c r="C46" s="586"/>
      <c r="D46" s="587"/>
      <c r="E46" s="307"/>
    </row>
    <row r="47" spans="2:5" ht="21.75" customHeight="1">
      <c r="B47" s="492" t="s">
        <v>152</v>
      </c>
      <c r="C47" s="586"/>
      <c r="D47" s="587"/>
      <c r="E47" s="307"/>
    </row>
    <row r="48" spans="2:5" ht="30">
      <c r="B48" s="492" t="s">
        <v>153</v>
      </c>
      <c r="C48" s="586"/>
      <c r="D48" s="587"/>
      <c r="E48" s="307"/>
    </row>
    <row r="49" spans="2:5" ht="33" customHeight="1">
      <c r="B49" s="492" t="s">
        <v>154</v>
      </c>
      <c r="C49" s="586"/>
      <c r="D49" s="587"/>
      <c r="E49" s="307"/>
    </row>
    <row r="50" spans="2:5" ht="19.5" customHeight="1">
      <c r="B50" s="492" t="s">
        <v>146</v>
      </c>
      <c r="C50" s="721">
        <v>120000</v>
      </c>
      <c r="D50" s="722">
        <v>120000</v>
      </c>
      <c r="E50" s="307"/>
    </row>
    <row r="51" spans="2:5" ht="19.5" customHeight="1">
      <c r="B51" s="492" t="s">
        <v>149</v>
      </c>
      <c r="C51" s="721">
        <v>240000</v>
      </c>
      <c r="D51" s="721">
        <v>240000</v>
      </c>
      <c r="E51" s="307"/>
    </row>
    <row r="52" spans="2:5" ht="20.25" customHeight="1">
      <c r="B52" s="492" t="s">
        <v>147</v>
      </c>
      <c r="C52" s="586">
        <v>600000</v>
      </c>
      <c r="D52" s="587">
        <v>600000</v>
      </c>
      <c r="E52" s="307"/>
    </row>
    <row r="53" spans="2:5" ht="19.5" customHeight="1">
      <c r="B53" s="492" t="s">
        <v>412</v>
      </c>
      <c r="C53" s="586">
        <v>60000</v>
      </c>
      <c r="D53" s="587">
        <v>60000</v>
      </c>
      <c r="E53" s="307"/>
    </row>
    <row r="54" spans="2:5" ht="34.5" customHeight="1">
      <c r="B54" s="492" t="s">
        <v>150</v>
      </c>
      <c r="C54" s="586">
        <v>96000</v>
      </c>
      <c r="D54" s="586">
        <v>96000</v>
      </c>
      <c r="E54" s="307"/>
    </row>
    <row r="55" spans="2:5" ht="26.45" customHeight="1">
      <c r="B55" s="492" t="s">
        <v>413</v>
      </c>
      <c r="C55" s="586">
        <v>60000</v>
      </c>
      <c r="D55" s="586">
        <v>60000</v>
      </c>
      <c r="E55" s="307"/>
    </row>
    <row r="56" spans="2:5" ht="24.75" customHeight="1">
      <c r="B56" s="492" t="s">
        <v>414</v>
      </c>
      <c r="C56" s="586"/>
      <c r="D56" s="587"/>
      <c r="E56" s="307"/>
    </row>
    <row r="57" spans="2:5" ht="18">
      <c r="B57" s="492" t="s">
        <v>432</v>
      </c>
      <c r="C57" s="721">
        <v>120000</v>
      </c>
      <c r="D57" s="721">
        <v>120000</v>
      </c>
      <c r="E57" s="307"/>
    </row>
    <row r="58" spans="2:5" ht="37.15" customHeight="1">
      <c r="B58" s="492" t="s">
        <v>148</v>
      </c>
      <c r="C58" s="586">
        <v>1025000</v>
      </c>
      <c r="D58" s="586">
        <v>1025000</v>
      </c>
      <c r="E58" s="307"/>
    </row>
    <row r="59" spans="2:5" ht="20.45" customHeight="1">
      <c r="B59" s="492" t="s">
        <v>142</v>
      </c>
      <c r="C59" s="586">
        <v>2166000</v>
      </c>
      <c r="D59" s="586">
        <v>2166000</v>
      </c>
      <c r="E59" s="307"/>
    </row>
    <row r="60" spans="2:5" ht="34.15" customHeight="1">
      <c r="B60" s="492" t="s">
        <v>143</v>
      </c>
      <c r="C60" s="586"/>
      <c r="D60" s="587"/>
      <c r="E60" s="307"/>
    </row>
    <row r="61" spans="2:5" ht="18">
      <c r="B61" s="492" t="s">
        <v>144</v>
      </c>
      <c r="C61" s="586"/>
      <c r="D61" s="587"/>
      <c r="E61" s="307"/>
    </row>
    <row r="62" spans="2:5" ht="18">
      <c r="B62" s="493" t="s">
        <v>433</v>
      </c>
      <c r="C62" s="586">
        <v>1500000</v>
      </c>
      <c r="D62" s="587">
        <v>1700000</v>
      </c>
      <c r="E62" s="307"/>
    </row>
    <row r="63" spans="2:5" ht="16.5" customHeight="1">
      <c r="B63" s="503"/>
      <c r="C63" s="588"/>
      <c r="D63" s="303"/>
      <c r="E63" s="307"/>
    </row>
    <row r="64" spans="2:5" ht="16.5" customHeight="1">
      <c r="B64" s="503"/>
      <c r="C64" s="588"/>
      <c r="D64" s="303"/>
      <c r="E64" s="307"/>
    </row>
    <row r="65" spans="1:14" ht="16.5" customHeight="1">
      <c r="B65" s="503"/>
      <c r="C65" s="588"/>
      <c r="D65" s="303"/>
      <c r="E65" s="307"/>
    </row>
    <row r="66" spans="1:14" ht="16.5" customHeight="1">
      <c r="B66" s="492"/>
      <c r="C66" s="588"/>
      <c r="D66" s="303"/>
      <c r="E66" s="307"/>
    </row>
    <row r="67" spans="1:14" ht="15">
      <c r="B67" s="492"/>
      <c r="C67" s="588"/>
      <c r="D67" s="303"/>
      <c r="E67" s="307"/>
    </row>
    <row r="68" spans="1:14" ht="21.75" customHeight="1" thickBot="1">
      <c r="B68" s="569" t="s">
        <v>151</v>
      </c>
      <c r="C68" s="447"/>
      <c r="D68" s="589"/>
      <c r="E68" s="307"/>
    </row>
    <row r="69" spans="1:14" ht="24.75" customHeight="1" thickBot="1">
      <c r="B69" s="570" t="s">
        <v>156</v>
      </c>
      <c r="C69" s="590">
        <f>SUM(C15,C45)</f>
        <v>5987000</v>
      </c>
      <c r="D69" s="469">
        <f>SUM(D15,D45)</f>
        <v>6187000</v>
      </c>
      <c r="E69" s="307"/>
    </row>
    <row r="70" spans="1:14" ht="40.5" customHeight="1" thickBot="1">
      <c r="B70" s="571" t="s">
        <v>157</v>
      </c>
      <c r="C70" s="590">
        <f>C68+C43-C11</f>
        <v>0</v>
      </c>
      <c r="D70" s="469">
        <f>D68+D43-D11</f>
        <v>0</v>
      </c>
      <c r="E70" s="307"/>
    </row>
    <row r="71" spans="1:14" ht="21.75" customHeight="1" thickBot="1">
      <c r="B71" s="570" t="s">
        <v>158</v>
      </c>
      <c r="C71" s="590">
        <f>SUM(C6:C10)-SUM(C17,C20,C23,C24,C27,C28,C29,C32,,C35,C36,C37,C38,C39)-SUM(C46:C67)</f>
        <v>13000</v>
      </c>
      <c r="D71" s="591">
        <f>SUM(D6:D10)-SUM(D17,D20,D23,D24,D27,D28,D29,D32,,D35,D36,D37,D38,D39)-SUM(D46:D67)</f>
        <v>313000</v>
      </c>
      <c r="E71" s="307"/>
    </row>
    <row r="72" spans="1:14" ht="23.25" customHeight="1" thickBot="1">
      <c r="B72" s="572" t="s">
        <v>159</v>
      </c>
      <c r="C72" s="447">
        <f>C5+C12-C69+C70</f>
        <v>1110000</v>
      </c>
      <c r="D72" s="589">
        <f>D5+D12-D69+D70</f>
        <v>1423000</v>
      </c>
      <c r="E72" s="307"/>
    </row>
    <row r="73" spans="1:14" ht="18.75" thickBot="1">
      <c r="B73" s="504"/>
      <c r="C73" s="504"/>
      <c r="D73" s="505"/>
      <c r="E73" s="307"/>
    </row>
    <row r="74" spans="1:14" ht="35.25" customHeight="1" thickBot="1">
      <c r="B74" s="450" t="s">
        <v>390</v>
      </c>
      <c r="C74" s="592"/>
      <c r="D74" s="464"/>
      <c r="E74" s="1038" t="s">
        <v>392</v>
      </c>
    </row>
    <row r="75" spans="1:14" ht="33" customHeight="1" thickBot="1">
      <c r="A75" s="237">
        <v>800</v>
      </c>
      <c r="B75" s="573" t="str">
        <f>CONCATENATE("Beírt karakterek száma: ",LEN(C76))</f>
        <v>Beírt karakterek száma: 403</v>
      </c>
      <c r="C75" s="1135" t="str">
        <f>IF(A76&gt;A75,CONCATENATE("Karaktertúllépés! Kérjük, válaszát a 3 cellában összesen maximum ",A75," karakterben foglalja össze!"),CONCATENATE("Még beírható karakterek száma:   ",A75-A76))</f>
        <v>Még beírható karakterek száma:   397</v>
      </c>
      <c r="D75" s="1136"/>
      <c r="E75" s="1039"/>
    </row>
    <row r="76" spans="1:14" ht="296.25" customHeight="1" thickBot="1">
      <c r="A76" s="498">
        <f>LEN(C76)</f>
        <v>403</v>
      </c>
      <c r="B76" s="531" t="s">
        <v>317</v>
      </c>
      <c r="C76" s="1137" t="s">
        <v>759</v>
      </c>
      <c r="D76" s="1138"/>
      <c r="E76" s="1039"/>
    </row>
    <row r="77" spans="1:14" ht="32.25" customHeight="1" thickBot="1">
      <c r="A77" s="237">
        <v>800</v>
      </c>
      <c r="B77" s="573" t="str">
        <f>CONCATENATE("Beírt karakterek száma: ",LEN(C78))</f>
        <v>Beírt karakterek száma: 308</v>
      </c>
      <c r="C77" s="1135" t="str">
        <f>IF(A78&gt;A77,CONCATENATE("Karaktertúllépés! Kérjük, válaszát a 3 cellában összesen maximum ",A77," karakterben foglalja össze!"),CONCATENATE("Még beírható karakterek száma:   ",A77-A78))</f>
        <v>Még beírható karakterek száma:   492</v>
      </c>
      <c r="D77" s="1136"/>
      <c r="E77" s="1039"/>
    </row>
    <row r="78" spans="1:14" ht="330" customHeight="1" thickBot="1">
      <c r="A78" s="499">
        <f>LEN(C78)</f>
        <v>308</v>
      </c>
      <c r="B78" s="451" t="s">
        <v>366</v>
      </c>
      <c r="C78" s="1123" t="s">
        <v>755</v>
      </c>
      <c r="D78" s="1124"/>
      <c r="E78" s="501" t="s">
        <v>391</v>
      </c>
    </row>
    <row r="79" spans="1:14" ht="18">
      <c r="B79" s="452"/>
      <c r="C79" s="452"/>
      <c r="D79" s="452"/>
    </row>
    <row r="80" spans="1:14" ht="111.75" customHeight="1">
      <c r="B80" s="1125" t="s">
        <v>508</v>
      </c>
      <c r="C80" s="1125"/>
      <c r="D80" s="1125"/>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25">
      <c r="B82" s="460" t="s">
        <v>463</v>
      </c>
      <c r="C82" s="460"/>
      <c r="D82" s="457"/>
      <c r="E82" s="530"/>
      <c r="F82" s="530"/>
      <c r="G82" s="530"/>
      <c r="H82" s="530"/>
      <c r="I82" s="530"/>
      <c r="J82" s="530"/>
      <c r="K82" s="530"/>
    </row>
    <row r="83" spans="2:14" ht="20.25">
      <c r="B83" s="530" t="s">
        <v>464</v>
      </c>
      <c r="C83" s="460"/>
      <c r="D83" s="457"/>
      <c r="E83" s="530"/>
      <c r="F83" s="530"/>
      <c r="G83" s="530"/>
      <c r="H83" s="530"/>
      <c r="I83" s="530"/>
      <c r="J83" s="530"/>
      <c r="K83" s="530"/>
    </row>
    <row r="84" spans="2:14" ht="28.5" customHeight="1">
      <c r="B84" s="458"/>
      <c r="C84" s="458"/>
      <c r="D84" s="457"/>
      <c r="E84" s="458"/>
      <c r="F84" s="458"/>
      <c r="G84" s="458"/>
      <c r="H84" s="458"/>
      <c r="I84" s="458"/>
      <c r="J84" s="458"/>
      <c r="K84" s="459"/>
    </row>
    <row r="85" spans="2:14" ht="40.5">
      <c r="B85" s="497" t="s">
        <v>426</v>
      </c>
      <c r="C85" s="460"/>
      <c r="D85" s="457"/>
      <c r="E85" s="530"/>
      <c r="F85" s="530"/>
      <c r="G85" s="530"/>
      <c r="H85" s="530"/>
      <c r="I85" s="530"/>
      <c r="J85" s="530"/>
      <c r="K85" s="530"/>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25">
      <c r="B88" s="460" t="s">
        <v>463</v>
      </c>
      <c r="C88" s="460"/>
      <c r="D88" s="457"/>
      <c r="E88" s="530"/>
      <c r="F88" s="530"/>
      <c r="G88" s="530"/>
      <c r="H88" s="530"/>
      <c r="I88" s="530"/>
      <c r="J88" s="530"/>
      <c r="K88" s="53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5" priority="2">
      <formula>A76&gt;A75</formula>
    </cfRule>
  </conditionalFormatting>
  <conditionalFormatting sqref="C77">
    <cfRule type="expression" dxfId="54" priority="1">
      <formula>A78&gt;A77</formula>
    </cfRule>
  </conditionalFormatting>
  <printOptions horizontalCentered="1"/>
  <pageMargins left="0.23622047244094491" right="0.23622047244094491" top="0.74803149606299213" bottom="0.74803149606299213" header="0.31496062992125984" footer="0.31496062992125984"/>
  <pageSetup paperSize="9" scale="50"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view="pageBreakPreview" zoomScale="60" zoomScaleNormal="70" workbookViewId="0">
      <selection activeCell="D21" sqref="D2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9" t="s">
        <v>252</v>
      </c>
      <c r="C1" s="1140"/>
      <c r="D1" s="1140"/>
      <c r="E1" s="1140"/>
      <c r="F1" s="1140"/>
      <c r="G1" s="1141"/>
      <c r="H1" s="185" t="s">
        <v>207</v>
      </c>
    </row>
    <row r="2" spans="1:9" s="12" customFormat="1" ht="33" customHeight="1" thickBot="1">
      <c r="A2" s="5"/>
      <c r="B2" s="65"/>
      <c r="C2" s="66" t="s">
        <v>162</v>
      </c>
      <c r="D2" s="58">
        <v>2018</v>
      </c>
      <c r="E2" s="58">
        <v>2019</v>
      </c>
      <c r="F2" s="58">
        <v>2020</v>
      </c>
      <c r="G2" s="58">
        <v>2021</v>
      </c>
      <c r="H2" s="129" t="s">
        <v>318</v>
      </c>
    </row>
    <row r="3" spans="1:9" ht="31.5" customHeight="1" thickBot="1">
      <c r="A3" s="5"/>
      <c r="B3" s="234" t="s">
        <v>163</v>
      </c>
      <c r="C3" s="63" t="s">
        <v>164</v>
      </c>
      <c r="D3" s="172">
        <v>750</v>
      </c>
      <c r="E3" s="535">
        <v>4200</v>
      </c>
      <c r="F3" s="539">
        <v>6000</v>
      </c>
      <c r="G3" s="539">
        <v>6500</v>
      </c>
      <c r="H3" s="1142" t="s">
        <v>529</v>
      </c>
    </row>
    <row r="4" spans="1:9" ht="31.5" customHeight="1" thickBot="1">
      <c r="A4" s="5"/>
      <c r="B4" s="234" t="s">
        <v>165</v>
      </c>
      <c r="C4" s="49" t="s">
        <v>166</v>
      </c>
      <c r="D4" s="172"/>
      <c r="E4" s="535"/>
      <c r="F4" s="540"/>
      <c r="G4" s="540"/>
      <c r="H4" s="1143"/>
    </row>
    <row r="5" spans="1:9" ht="31.5" customHeight="1" thickBot="1">
      <c r="A5" s="5"/>
      <c r="B5" s="234" t="s">
        <v>167</v>
      </c>
      <c r="C5" s="49" t="s">
        <v>168</v>
      </c>
      <c r="D5" s="172">
        <v>1833</v>
      </c>
      <c r="E5" s="535">
        <v>1500</v>
      </c>
      <c r="F5" s="540"/>
      <c r="G5" s="540"/>
      <c r="H5" s="1143"/>
    </row>
    <row r="6" spans="1:9" ht="31.5" customHeight="1" thickBot="1">
      <c r="A6" s="5"/>
      <c r="B6" s="235" t="s">
        <v>169</v>
      </c>
      <c r="C6" s="64" t="s">
        <v>170</v>
      </c>
      <c r="D6" s="723">
        <v>60</v>
      </c>
      <c r="E6" s="723">
        <v>360</v>
      </c>
      <c r="F6" s="723">
        <v>360</v>
      </c>
      <c r="G6" s="723">
        <v>360</v>
      </c>
      <c r="H6" s="1143"/>
    </row>
    <row r="7" spans="1:9" ht="31.5" customHeight="1" thickBot="1">
      <c r="A7" s="5"/>
      <c r="B7" s="235" t="s">
        <v>171</v>
      </c>
      <c r="C7" s="64" t="s">
        <v>745</v>
      </c>
      <c r="D7" s="723">
        <v>146</v>
      </c>
      <c r="E7" s="724">
        <v>942</v>
      </c>
      <c r="F7" s="725">
        <v>1236</v>
      </c>
      <c r="G7" s="725">
        <v>1236</v>
      </c>
      <c r="H7" s="1143"/>
    </row>
    <row r="8" spans="1:9" ht="31.5" customHeight="1" thickBot="1">
      <c r="A8" s="5"/>
      <c r="B8" s="235" t="s">
        <v>172</v>
      </c>
      <c r="C8" s="64" t="s">
        <v>173</v>
      </c>
      <c r="D8" s="172"/>
      <c r="E8" s="535"/>
      <c r="F8" s="540"/>
      <c r="G8" s="540"/>
      <c r="H8" s="1143"/>
    </row>
    <row r="9" spans="1:9" ht="31.5" customHeight="1" thickBot="1">
      <c r="A9" s="5"/>
      <c r="B9" s="235" t="s">
        <v>174</v>
      </c>
      <c r="C9" s="64"/>
      <c r="D9" s="172"/>
      <c r="E9" s="535"/>
      <c r="F9" s="540"/>
      <c r="G9" s="540"/>
      <c r="H9" s="1143"/>
    </row>
    <row r="10" spans="1:9" ht="31.5" customHeight="1" thickBot="1">
      <c r="A10" s="5"/>
      <c r="B10" s="235" t="s">
        <v>175</v>
      </c>
      <c r="C10" s="64"/>
      <c r="D10" s="172"/>
      <c r="E10" s="535"/>
      <c r="F10" s="540"/>
      <c r="G10" s="540"/>
      <c r="H10" s="1143"/>
      <c r="I10" s="12"/>
    </row>
    <row r="11" spans="1:9" ht="31.5" customHeight="1" thickBot="1">
      <c r="A11" s="5"/>
      <c r="B11" s="235" t="s">
        <v>176</v>
      </c>
      <c r="C11" s="64" t="s">
        <v>177</v>
      </c>
      <c r="D11" s="172"/>
      <c r="E11" s="535"/>
      <c r="F11" s="540"/>
      <c r="G11" s="540"/>
      <c r="H11" s="1143"/>
    </row>
    <row r="12" spans="1:9" ht="31.5" customHeight="1" thickBot="1">
      <c r="A12" s="5"/>
      <c r="B12" s="235" t="s">
        <v>240</v>
      </c>
      <c r="C12" s="64" t="s">
        <v>178</v>
      </c>
      <c r="D12" s="172">
        <v>200</v>
      </c>
      <c r="E12" s="535">
        <v>1200</v>
      </c>
      <c r="F12" s="540">
        <v>1500</v>
      </c>
      <c r="G12" s="540">
        <v>1700</v>
      </c>
      <c r="H12" s="1143"/>
    </row>
    <row r="13" spans="1:9" ht="31.5" customHeight="1" thickBot="1">
      <c r="A13" s="5"/>
      <c r="B13" s="235" t="s">
        <v>179</v>
      </c>
      <c r="C13" s="64" t="s">
        <v>180</v>
      </c>
      <c r="D13" s="172"/>
      <c r="E13" s="541"/>
      <c r="F13" s="542"/>
      <c r="G13" s="542"/>
      <c r="H13" s="1143"/>
    </row>
    <row r="14" spans="1:9" ht="31.5" customHeight="1" thickBot="1">
      <c r="A14" s="5"/>
      <c r="B14" s="234" t="s">
        <v>181</v>
      </c>
      <c r="C14" s="49" t="s">
        <v>182</v>
      </c>
      <c r="D14" s="536">
        <f>SUM(D6:D13)</f>
        <v>406</v>
      </c>
      <c r="E14" s="543">
        <f>SUM(E6:E13)</f>
        <v>2502</v>
      </c>
      <c r="F14" s="543">
        <f>SUM(F6:F13)</f>
        <v>3096</v>
      </c>
      <c r="G14" s="543">
        <f>SUM(G6:G13)</f>
        <v>3296</v>
      </c>
      <c r="H14" s="1143"/>
    </row>
    <row r="15" spans="1:9" ht="31.5" customHeight="1" thickBot="1">
      <c r="A15" s="5"/>
      <c r="B15" s="235" t="s">
        <v>183</v>
      </c>
      <c r="C15" s="64" t="s">
        <v>184</v>
      </c>
      <c r="D15" s="535">
        <v>361</v>
      </c>
      <c r="E15" s="544">
        <v>2166</v>
      </c>
      <c r="F15" s="544">
        <v>2166</v>
      </c>
      <c r="G15" s="544">
        <v>2166</v>
      </c>
      <c r="H15" s="1143"/>
    </row>
    <row r="16" spans="1:9" ht="31.5" customHeight="1" thickBot="1">
      <c r="A16" s="5"/>
      <c r="B16" s="235" t="s">
        <v>185</v>
      </c>
      <c r="C16" s="64" t="s">
        <v>186</v>
      </c>
      <c r="D16" s="535"/>
      <c r="E16" s="544"/>
      <c r="F16" s="544"/>
      <c r="G16" s="544"/>
      <c r="H16" s="1143"/>
    </row>
    <row r="17" spans="1:8" ht="31.5" customHeight="1" thickBot="1">
      <c r="A17" s="5"/>
      <c r="B17" s="235" t="s">
        <v>187</v>
      </c>
      <c r="C17" s="64" t="s">
        <v>188</v>
      </c>
      <c r="D17" s="535"/>
      <c r="E17" s="544"/>
      <c r="F17" s="544"/>
      <c r="G17" s="544"/>
      <c r="H17" s="1143"/>
    </row>
    <row r="18" spans="1:8" ht="31.5" customHeight="1" thickBot="1">
      <c r="A18" s="5"/>
      <c r="B18" s="234" t="s">
        <v>189</v>
      </c>
      <c r="C18" s="49" t="s">
        <v>190</v>
      </c>
      <c r="D18" s="536">
        <f>SUM(D15:D17)</f>
        <v>361</v>
      </c>
      <c r="E18" s="543">
        <f>SUM(E15:E17)</f>
        <v>2166</v>
      </c>
      <c r="F18" s="543">
        <f>SUM(F15:F17)</f>
        <v>2166</v>
      </c>
      <c r="G18" s="543">
        <f>SUM(G15:G17)</f>
        <v>2166</v>
      </c>
      <c r="H18" s="1143"/>
    </row>
    <row r="19" spans="1:8" ht="31.5" customHeight="1" thickBot="1">
      <c r="A19" s="5"/>
      <c r="B19" s="234" t="s">
        <v>191</v>
      </c>
      <c r="C19" s="49" t="s">
        <v>192</v>
      </c>
      <c r="D19" s="535"/>
      <c r="E19" s="544"/>
      <c r="F19" s="544"/>
      <c r="G19" s="544"/>
      <c r="H19" s="1143"/>
    </row>
    <row r="20" spans="1:8" ht="31.5" customHeight="1" thickBot="1">
      <c r="A20" s="5"/>
      <c r="B20" s="234" t="s">
        <v>193</v>
      </c>
      <c r="C20" s="49" t="s">
        <v>194</v>
      </c>
      <c r="D20" s="535">
        <v>15</v>
      </c>
      <c r="E20" s="544">
        <v>84</v>
      </c>
      <c r="F20" s="544">
        <v>110</v>
      </c>
      <c r="G20" s="544">
        <v>124</v>
      </c>
      <c r="H20" s="1143"/>
    </row>
    <row r="21" spans="1:8" ht="50.25" customHeight="1" thickBot="1">
      <c r="A21" s="5"/>
      <c r="B21" s="234" t="s">
        <v>195</v>
      </c>
      <c r="C21" s="49" t="s">
        <v>196</v>
      </c>
      <c r="D21" s="536">
        <f>+D3+D4+D5-D14-D18-D19-D20</f>
        <v>1801</v>
      </c>
      <c r="E21" s="543">
        <f>+E3+E4+E5-E14-E18-E19-E20</f>
        <v>948</v>
      </c>
      <c r="F21" s="543">
        <f>+F3+F4+F5-F14-F18-F19-F20</f>
        <v>628</v>
      </c>
      <c r="G21" s="543">
        <f>+G3+G4+G5-G14-G18-G19-G20</f>
        <v>914</v>
      </c>
      <c r="H21" s="1143"/>
    </row>
    <row r="22" spans="1:8" ht="29.25" customHeight="1" thickBot="1">
      <c r="A22" s="5"/>
      <c r="B22" s="234" t="s">
        <v>197</v>
      </c>
      <c r="C22" s="49" t="s">
        <v>198</v>
      </c>
      <c r="D22" s="535"/>
      <c r="E22" s="544"/>
      <c r="F22" s="544"/>
      <c r="G22" s="544"/>
      <c r="H22" s="1143"/>
    </row>
    <row r="23" spans="1:8" ht="31.5" customHeight="1" thickBot="1">
      <c r="A23" s="5"/>
      <c r="B23" s="234" t="s">
        <v>199</v>
      </c>
      <c r="C23" s="49" t="s">
        <v>200</v>
      </c>
      <c r="D23" s="535"/>
      <c r="E23" s="544"/>
      <c r="F23" s="544"/>
      <c r="G23" s="544"/>
      <c r="H23" s="1143"/>
    </row>
    <row r="24" spans="1:8" ht="31.5" customHeight="1" thickBot="1">
      <c r="A24" s="5"/>
      <c r="B24" s="234" t="s">
        <v>201</v>
      </c>
      <c r="C24" s="49" t="s">
        <v>202</v>
      </c>
      <c r="D24" s="537">
        <f>+D22-D23</f>
        <v>0</v>
      </c>
      <c r="E24" s="545">
        <f>+E22-E23</f>
        <v>0</v>
      </c>
      <c r="F24" s="545">
        <f>+F22-F23</f>
        <v>0</v>
      </c>
      <c r="G24" s="545">
        <f>+G22-G23</f>
        <v>0</v>
      </c>
      <c r="H24" s="1144" t="s">
        <v>416</v>
      </c>
    </row>
    <row r="25" spans="1:8" ht="39.75" customHeight="1" thickBot="1">
      <c r="A25" s="5"/>
      <c r="B25" s="234" t="s">
        <v>203</v>
      </c>
      <c r="C25" s="49" t="s">
        <v>262</v>
      </c>
      <c r="D25" s="537">
        <f>+D21+D24</f>
        <v>1801</v>
      </c>
      <c r="E25" s="545">
        <f>+E21+E24</f>
        <v>948</v>
      </c>
      <c r="F25" s="545">
        <f>+F21+F24</f>
        <v>628</v>
      </c>
      <c r="G25" s="545">
        <f>+G21+G24</f>
        <v>914</v>
      </c>
      <c r="H25" s="1145"/>
    </row>
    <row r="26" spans="1:8" ht="31.5" customHeight="1" thickBot="1">
      <c r="A26" s="5"/>
      <c r="B26" s="234" t="s">
        <v>263</v>
      </c>
      <c r="C26" s="49" t="s">
        <v>204</v>
      </c>
      <c r="D26" s="535">
        <v>100</v>
      </c>
      <c r="E26" s="544">
        <v>600</v>
      </c>
      <c r="F26" s="544">
        <v>600</v>
      </c>
      <c r="G26" s="544">
        <v>600</v>
      </c>
      <c r="H26" s="1145"/>
    </row>
    <row r="27" spans="1:8" ht="31.5" customHeight="1" thickBot="1">
      <c r="A27" s="5"/>
      <c r="B27" s="463" t="s">
        <v>397</v>
      </c>
      <c r="C27" s="236" t="s">
        <v>398</v>
      </c>
      <c r="D27" s="538">
        <f>+D25-D26</f>
        <v>1701</v>
      </c>
      <c r="E27" s="545">
        <f>+E25-E26</f>
        <v>348</v>
      </c>
      <c r="F27" s="545">
        <f>+F25-F26</f>
        <v>28</v>
      </c>
      <c r="G27" s="545">
        <f>+G25-G26</f>
        <v>314</v>
      </c>
      <c r="H27" s="114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view="pageBreakPreview" topLeftCell="A4" zoomScale="60" zoomScaleNormal="70" workbookViewId="0">
      <selection activeCell="B8" sqref="B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8" t="s">
        <v>253</v>
      </c>
      <c r="C1" s="810"/>
      <c r="D1" s="132" t="s">
        <v>207</v>
      </c>
      <c r="E1" s="7"/>
      <c r="F1" s="7"/>
    </row>
    <row r="2" spans="1:6" ht="15" customHeight="1" thickBot="1">
      <c r="B2" s="131"/>
      <c r="C2" s="55"/>
      <c r="D2" s="129" t="s">
        <v>318</v>
      </c>
    </row>
    <row r="3" spans="1:6" ht="37.5" customHeight="1" thickBot="1">
      <c r="B3" s="1154" t="s">
        <v>367</v>
      </c>
      <c r="C3" s="1155"/>
      <c r="D3" s="198"/>
    </row>
    <row r="4" spans="1:6" ht="38.25" customHeight="1" thickBot="1">
      <c r="A4" s="186">
        <v>1500</v>
      </c>
      <c r="B4" s="51" t="str">
        <f>CONCATENATE("Beírt karakterek száma: ",LEN(C6)+LEN(C7)+LEN(C8))</f>
        <v>Beírt karakterek száma: 110</v>
      </c>
      <c r="C4" s="152" t="str">
        <f>IF(A5&gt;A4,CONCATENATE("Karaktertúllépés! Kérjük, válaszát a 3 cellában összesen maximum ",A4," karakterben foglalja össze!"),CONCATENATE("Még beírható karakterek száma:   ",A4-A5))</f>
        <v>Még beírható karakterek száma:   1390</v>
      </c>
      <c r="D4" s="6"/>
      <c r="E4" s="36">
        <f>LEN(C6)+LEN(C7)+LEN(C8)</f>
        <v>110</v>
      </c>
    </row>
    <row r="5" spans="1:6" ht="32.25" customHeight="1" thickBot="1">
      <c r="A5" s="197">
        <f>LEN(C6)+LEN(C7)+LEN(C8)</f>
        <v>110</v>
      </c>
      <c r="B5" s="199" t="s">
        <v>4</v>
      </c>
      <c r="C5" s="200" t="s">
        <v>5</v>
      </c>
      <c r="D5" s="6"/>
    </row>
    <row r="6" spans="1:6" ht="171" customHeight="1" thickBot="1">
      <c r="B6" s="532" t="s">
        <v>725</v>
      </c>
      <c r="C6" s="533" t="s">
        <v>726</v>
      </c>
      <c r="D6" s="741" t="s">
        <v>411</v>
      </c>
    </row>
    <row r="7" spans="1:6" ht="165.75" customHeight="1" thickBot="1">
      <c r="B7" s="534" t="s">
        <v>733</v>
      </c>
      <c r="C7" s="533" t="s">
        <v>734</v>
      </c>
      <c r="D7" s="742"/>
    </row>
    <row r="8" spans="1:6" ht="147" customHeight="1" thickBot="1">
      <c r="B8" s="534" t="s">
        <v>746</v>
      </c>
      <c r="C8" s="533" t="s">
        <v>747</v>
      </c>
      <c r="D8" s="743"/>
    </row>
    <row r="9" spans="1:6" ht="15.75">
      <c r="B9" s="10"/>
      <c r="D9" s="6"/>
    </row>
    <row r="10" spans="1:6" ht="23.25" customHeight="1" thickBot="1">
      <c r="B10" s="8" t="s">
        <v>205</v>
      </c>
      <c r="D10" s="6"/>
    </row>
    <row r="11" spans="1:6" ht="64.5" customHeight="1">
      <c r="B11" s="10" t="s">
        <v>427</v>
      </c>
      <c r="D11" s="1150" t="s">
        <v>399</v>
      </c>
      <c r="E11" s="1151"/>
    </row>
    <row r="12" spans="1:6" ht="132" customHeight="1">
      <c r="B12" s="10" t="s">
        <v>532</v>
      </c>
      <c r="D12" s="1152" t="s">
        <v>319</v>
      </c>
      <c r="E12" s="1153"/>
    </row>
    <row r="13" spans="1:6" ht="64.5" customHeight="1">
      <c r="B13" s="1149" t="s">
        <v>428</v>
      </c>
      <c r="C13" s="1149"/>
      <c r="D13" s="1152" t="s">
        <v>400</v>
      </c>
      <c r="E13" s="1153"/>
    </row>
    <row r="14" spans="1:6" ht="68.25" customHeight="1" thickBot="1">
      <c r="B14" s="10" t="s">
        <v>206</v>
      </c>
      <c r="D14" s="1147" t="s">
        <v>401</v>
      </c>
      <c r="E14" s="114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3"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topLeftCell="B1" zoomScale="70" zoomScaleNormal="70" zoomScaleSheetLayoutView="70" workbookViewId="0">
      <selection activeCell="B8" sqref="B8"/>
    </sheetView>
  </sheetViews>
  <sheetFormatPr defaultColWidth="9.140625" defaultRowHeight="15.75"/>
  <cols>
    <col min="1" max="1" width="5.7109375" style="4" customWidth="1"/>
    <col min="2" max="2" width="4.42578125" style="508" customWidth="1"/>
    <col min="3" max="3" width="40.7109375" style="507" customWidth="1"/>
    <col min="4" max="4" width="26.5703125" style="507" customWidth="1"/>
    <col min="5" max="5" width="12.7109375" style="507" customWidth="1"/>
    <col min="6" max="6" width="26.85546875" style="507" customWidth="1"/>
    <col min="7" max="7" width="12.7109375" style="507" customWidth="1"/>
    <col min="8" max="8" width="52" style="4" customWidth="1"/>
    <col min="9" max="9" width="78" style="4" customWidth="1"/>
    <col min="10" max="16384" width="9.140625" style="4"/>
  </cols>
  <sheetData>
    <row r="1" spans="2:9" ht="16.5" thickBot="1">
      <c r="C1" s="506"/>
      <c r="D1" s="506"/>
      <c r="E1" s="506"/>
      <c r="F1" s="506"/>
      <c r="G1" s="506"/>
      <c r="H1" s="6"/>
    </row>
    <row r="2" spans="2:9" ht="42" customHeight="1">
      <c r="B2" s="516"/>
      <c r="C2" s="1157" t="s">
        <v>440</v>
      </c>
      <c r="D2" s="1157"/>
      <c r="E2" s="1157"/>
      <c r="F2" s="1157"/>
      <c r="G2" s="1158"/>
      <c r="H2" s="6"/>
    </row>
    <row r="3" spans="2:9" ht="51.75" customHeight="1" thickBot="1">
      <c r="B3" s="517"/>
      <c r="C3" s="525"/>
      <c r="D3" s="526" t="s">
        <v>441</v>
      </c>
      <c r="E3" s="526" t="s">
        <v>451</v>
      </c>
      <c r="F3" s="526" t="s">
        <v>450</v>
      </c>
      <c r="G3" s="527" t="s">
        <v>451</v>
      </c>
      <c r="H3" s="6"/>
    </row>
    <row r="4" spans="2:9" ht="65.25" customHeight="1">
      <c r="B4" s="517" t="s">
        <v>86</v>
      </c>
      <c r="C4" s="509" t="s">
        <v>427</v>
      </c>
      <c r="D4" s="511" t="s">
        <v>461</v>
      </c>
      <c r="E4" s="513" t="s">
        <v>333</v>
      </c>
      <c r="F4" s="511" t="s">
        <v>460</v>
      </c>
      <c r="G4" s="524" t="s">
        <v>333</v>
      </c>
      <c r="H4" s="1159" t="s">
        <v>399</v>
      </c>
      <c r="I4" s="1151"/>
    </row>
    <row r="5" spans="2:9" ht="105.75" customHeight="1">
      <c r="B5" s="517" t="s">
        <v>87</v>
      </c>
      <c r="C5" s="509" t="s">
        <v>417</v>
      </c>
      <c r="D5" s="511" t="s">
        <v>442</v>
      </c>
      <c r="E5" s="513" t="s">
        <v>333</v>
      </c>
      <c r="F5" s="511" t="s">
        <v>443</v>
      </c>
      <c r="G5" s="524" t="s">
        <v>333</v>
      </c>
      <c r="H5" s="1160" t="s">
        <v>319</v>
      </c>
      <c r="I5" s="1153"/>
    </row>
    <row r="6" spans="2:9" ht="74.25" customHeight="1">
      <c r="B6" s="517" t="s">
        <v>89</v>
      </c>
      <c r="C6" s="509" t="s">
        <v>428</v>
      </c>
      <c r="D6" s="511" t="s">
        <v>445</v>
      </c>
      <c r="E6" s="513"/>
      <c r="F6" s="511" t="s">
        <v>444</v>
      </c>
      <c r="G6" s="524"/>
      <c r="H6" s="1160" t="s">
        <v>400</v>
      </c>
      <c r="I6" s="1153"/>
    </row>
    <row r="7" spans="2:9" ht="87.75" customHeight="1" thickBot="1">
      <c r="B7" s="517" t="s">
        <v>448</v>
      </c>
      <c r="C7" s="509" t="s">
        <v>206</v>
      </c>
      <c r="D7" s="511" t="s">
        <v>446</v>
      </c>
      <c r="E7" s="513" t="s">
        <v>333</v>
      </c>
      <c r="F7" s="511" t="s">
        <v>447</v>
      </c>
      <c r="G7" s="524" t="s">
        <v>333</v>
      </c>
      <c r="H7" s="1156" t="s">
        <v>401</v>
      </c>
      <c r="I7" s="1148"/>
    </row>
    <row r="8" spans="2:9" ht="18" customHeight="1" thickBot="1">
      <c r="B8" s="517"/>
      <c r="C8" s="510"/>
      <c r="D8" s="511"/>
      <c r="E8" s="511"/>
      <c r="F8" s="511"/>
      <c r="G8" s="512"/>
    </row>
    <row r="9" spans="2:9" ht="67.5" customHeight="1">
      <c r="B9" s="517" t="s">
        <v>449</v>
      </c>
      <c r="C9" s="1161" t="s">
        <v>456</v>
      </c>
      <c r="D9" s="1161"/>
      <c r="E9" s="514" t="s">
        <v>333</v>
      </c>
      <c r="F9" s="515" t="s">
        <v>458</v>
      </c>
      <c r="G9" s="518" t="s">
        <v>458</v>
      </c>
      <c r="H9" s="1163" t="s">
        <v>541</v>
      </c>
      <c r="I9" s="1164"/>
    </row>
    <row r="10" spans="2:9" ht="111.75" customHeight="1">
      <c r="B10" s="517" t="s">
        <v>452</v>
      </c>
      <c r="C10" s="1161" t="s">
        <v>457</v>
      </c>
      <c r="D10" s="1161"/>
      <c r="E10" s="1161"/>
      <c r="F10" s="1161"/>
      <c r="G10" s="519" t="s">
        <v>333</v>
      </c>
      <c r="H10" s="1165"/>
      <c r="I10" s="1166"/>
    </row>
    <row r="11" spans="2:9" ht="152.25" customHeight="1">
      <c r="B11" s="517" t="s">
        <v>453</v>
      </c>
      <c r="C11" s="1161" t="s">
        <v>454</v>
      </c>
      <c r="D11" s="1161"/>
      <c r="E11" s="1161"/>
      <c r="F11" s="1161"/>
      <c r="G11" s="519" t="s">
        <v>333</v>
      </c>
      <c r="H11" s="1165"/>
      <c r="I11" s="1166"/>
    </row>
    <row r="12" spans="2:9" ht="128.25" customHeight="1">
      <c r="B12" s="517" t="s">
        <v>240</v>
      </c>
      <c r="C12" s="1161" t="s">
        <v>542</v>
      </c>
      <c r="D12" s="1161"/>
      <c r="E12" s="1161"/>
      <c r="F12" s="1161"/>
      <c r="G12" s="519" t="s">
        <v>333</v>
      </c>
      <c r="H12" s="1165" t="s">
        <v>462</v>
      </c>
      <c r="I12" s="1166"/>
    </row>
    <row r="13" spans="2:9" ht="66.75" customHeight="1" thickBot="1">
      <c r="B13" s="520" t="s">
        <v>459</v>
      </c>
      <c r="C13" s="1162" t="s">
        <v>455</v>
      </c>
      <c r="D13" s="1162"/>
      <c r="E13" s="521" t="s">
        <v>333</v>
      </c>
      <c r="F13" s="522" t="s">
        <v>458</v>
      </c>
      <c r="G13" s="523" t="s">
        <v>458</v>
      </c>
      <c r="H13" s="1167"/>
      <c r="I13" s="1168"/>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D062-32D9-46CC-B199-111C875876B2}">
  <sheetPr>
    <tabColor rgb="FF92D050"/>
  </sheetPr>
  <dimension ref="A1:CA388"/>
  <sheetViews>
    <sheetView tabSelected="1" zoomScale="70" zoomScaleNormal="70" workbookViewId="0">
      <selection activeCell="M358" sqref="M358"/>
    </sheetView>
  </sheetViews>
  <sheetFormatPr defaultRowHeight="24.75"/>
  <cols>
    <col min="1" max="1" width="4.85546875" style="1324"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ustomWidth="1"/>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ustomWidth="1"/>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ustomWidth="1"/>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ustomWidth="1"/>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ustomWidth="1"/>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ustomWidth="1"/>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ustomWidth="1"/>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ustomWidth="1"/>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ustomWidth="1"/>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ustomWidth="1"/>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ustomWidth="1"/>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ustomWidth="1"/>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ustomWidth="1"/>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ustomWidth="1"/>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ustomWidth="1"/>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ustomWidth="1"/>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ustomWidth="1"/>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ustomWidth="1"/>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ustomWidth="1"/>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ustomWidth="1"/>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ustomWidth="1"/>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ustomWidth="1"/>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ustomWidth="1"/>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ustomWidth="1"/>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ustomWidth="1"/>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ustomWidth="1"/>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ustomWidth="1"/>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ustomWidth="1"/>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ustomWidth="1"/>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ustomWidth="1"/>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ustomWidth="1"/>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ustomWidth="1"/>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ustomWidth="1"/>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ustomWidth="1"/>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ustomWidth="1"/>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ustomWidth="1"/>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ustomWidth="1"/>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ustomWidth="1"/>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ustomWidth="1"/>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ustomWidth="1"/>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ustomWidth="1"/>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ustomWidth="1"/>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ustomWidth="1"/>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ustomWidth="1"/>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ustomWidth="1"/>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ustomWidth="1"/>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ustomWidth="1"/>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ustomWidth="1"/>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ustomWidth="1"/>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ustomWidth="1"/>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ustomWidth="1"/>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ustomWidth="1"/>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ustomWidth="1"/>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ustomWidth="1"/>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ustomWidth="1"/>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ustomWidth="1"/>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ustomWidth="1"/>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ustomWidth="1"/>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ustomWidth="1"/>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ustomWidth="1"/>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ustomWidth="1"/>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ustomWidth="1"/>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ustomWidth="1"/>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ustomWidth="1"/>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ustomWidth="1"/>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ustomWidth="1"/>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ustomWidth="1"/>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ustomWidth="1"/>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ustomWidth="1"/>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ustomWidth="1"/>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ustomWidth="1"/>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ustomWidth="1"/>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ustomWidth="1"/>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ustomWidth="1"/>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ustomWidth="1"/>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ustomWidth="1"/>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ustomWidth="1"/>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ustomWidth="1"/>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ustomWidth="1"/>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ustomWidth="1"/>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ustomWidth="1"/>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ustomWidth="1"/>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ustomWidth="1"/>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ustomWidth="1"/>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ustomWidth="1"/>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ustomWidth="1"/>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ustomWidth="1"/>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ustomWidth="1"/>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ustomWidth="1"/>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ustomWidth="1"/>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ustomWidth="1"/>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ustomWidth="1"/>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ustomWidth="1"/>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ustomWidth="1"/>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ustomWidth="1"/>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ustomWidth="1"/>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ustomWidth="1"/>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ustomWidth="1"/>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ustomWidth="1"/>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ustomWidth="1"/>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ustomWidth="1"/>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ustomWidth="1"/>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ustomWidth="1"/>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ustomWidth="1"/>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ustomWidth="1"/>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ustomWidth="1"/>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ustomWidth="1"/>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ustomWidth="1"/>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ustomWidth="1"/>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ustomWidth="1"/>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ustomWidth="1"/>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ustomWidth="1"/>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ustomWidth="1"/>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ustomWidth="1"/>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ustomWidth="1"/>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ustomWidth="1"/>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ustomWidth="1"/>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ustomWidth="1"/>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ustomWidth="1"/>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ustomWidth="1"/>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ustomWidth="1"/>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ustomWidth="1"/>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ustomWidth="1"/>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ustomWidth="1"/>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ustomWidth="1"/>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ustomWidth="1"/>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ustomWidth="1"/>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ustomWidth="1"/>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763</v>
      </c>
      <c r="C2" s="1206"/>
      <c r="D2" s="1206"/>
      <c r="E2" s="1206"/>
      <c r="F2" s="1206"/>
      <c r="G2" s="1206"/>
      <c r="H2" s="1206"/>
      <c r="I2" s="1207"/>
      <c r="L2" s="1208" t="s">
        <v>764</v>
      </c>
      <c r="M2" s="1209"/>
      <c r="N2" s="1209"/>
      <c r="O2" s="1210"/>
      <c r="P2" s="1210"/>
      <c r="Q2" s="1210"/>
      <c r="R2" s="1210"/>
      <c r="S2" s="1210"/>
      <c r="T2" s="1211"/>
      <c r="U2" s="1203" t="s">
        <v>765</v>
      </c>
    </row>
    <row r="3" spans="2:79" ht="45" customHeight="1" thickBot="1">
      <c r="B3" s="1212"/>
      <c r="C3" s="1213" t="s">
        <v>766</v>
      </c>
      <c r="D3" s="1206"/>
      <c r="E3" s="1207"/>
      <c r="F3" s="1214"/>
      <c r="G3" s="1215"/>
      <c r="H3" s="1215"/>
      <c r="I3" s="1215"/>
      <c r="L3" s="1216" t="s">
        <v>767</v>
      </c>
      <c r="M3" s="1217" t="s">
        <v>768</v>
      </c>
      <c r="N3" s="1218" t="s">
        <v>769</v>
      </c>
      <c r="O3" s="1216" t="s">
        <v>767</v>
      </c>
      <c r="P3" s="1217" t="s">
        <v>768</v>
      </c>
      <c r="Q3" s="1218" t="s">
        <v>769</v>
      </c>
      <c r="R3" s="1216" t="s">
        <v>767</v>
      </c>
      <c r="S3" s="1217" t="s">
        <v>768</v>
      </c>
      <c r="T3" s="1218" t="s">
        <v>769</v>
      </c>
    </row>
    <row r="4" spans="2:79" ht="51.6" customHeight="1" thickBot="1">
      <c r="F4" s="1202"/>
      <c r="G4" s="1202"/>
      <c r="H4" s="1202"/>
      <c r="L4" s="1219" t="s">
        <v>770</v>
      </c>
      <c r="M4" s="1220">
        <v>8</v>
      </c>
      <c r="N4" s="1221">
        <f>I28</f>
        <v>4</v>
      </c>
      <c r="O4" s="1222" t="s">
        <v>771</v>
      </c>
      <c r="P4" s="1223">
        <v>25</v>
      </c>
      <c r="Q4" s="1224">
        <f>I172</f>
        <v>16</v>
      </c>
      <c r="R4" s="1225" t="s">
        <v>772</v>
      </c>
      <c r="S4" s="1226">
        <v>39</v>
      </c>
      <c r="T4" s="1227">
        <f>I240</f>
        <v>20</v>
      </c>
    </row>
    <row r="5" spans="2:79" ht="54.6" customHeight="1">
      <c r="B5" s="1228" t="s">
        <v>773</v>
      </c>
      <c r="C5" s="1229" t="s">
        <v>621</v>
      </c>
      <c r="D5" s="1230"/>
      <c r="E5" s="1230"/>
      <c r="F5" s="1230"/>
      <c r="G5" s="1230"/>
      <c r="H5" s="1230"/>
      <c r="I5" s="1231"/>
      <c r="L5" s="1232" t="s">
        <v>774</v>
      </c>
      <c r="M5" s="1233">
        <v>17</v>
      </c>
      <c r="N5" s="1234">
        <f>I48</f>
        <v>9</v>
      </c>
      <c r="O5" s="1235" t="s">
        <v>775</v>
      </c>
      <c r="P5" s="1236">
        <v>4</v>
      </c>
      <c r="Q5" s="1237">
        <f>I228</f>
        <v>4</v>
      </c>
      <c r="R5" s="1238" t="s">
        <v>776</v>
      </c>
      <c r="S5" s="1239">
        <v>10</v>
      </c>
      <c r="T5" s="1240">
        <f>I302</f>
        <v>5</v>
      </c>
    </row>
    <row r="6" spans="2:79" ht="54.6" customHeight="1">
      <c r="B6" s="1241" t="s">
        <v>777</v>
      </c>
      <c r="C6" s="1242">
        <v>32867</v>
      </c>
      <c r="D6" s="1243"/>
      <c r="E6" s="1243"/>
      <c r="F6" s="1243"/>
      <c r="G6" s="1243"/>
      <c r="H6" s="1243"/>
      <c r="I6" s="1244"/>
      <c r="L6" s="1232" t="s">
        <v>778</v>
      </c>
      <c r="M6" s="1233">
        <v>40</v>
      </c>
      <c r="N6" s="1245">
        <f>I84</f>
        <v>35</v>
      </c>
      <c r="O6" s="1235" t="s">
        <v>779</v>
      </c>
      <c r="P6" s="1246">
        <v>27</v>
      </c>
      <c r="Q6" s="1237">
        <f>I344</f>
        <v>18</v>
      </c>
      <c r="R6" s="1238" t="s">
        <v>780</v>
      </c>
      <c r="S6" s="1239">
        <v>12</v>
      </c>
      <c r="T6" s="1240">
        <f>I323</f>
        <v>8</v>
      </c>
      <c r="Y6" s="1203"/>
      <c r="AC6" s="1247"/>
    </row>
    <row r="7" spans="2:79" ht="54.6" customHeight="1" thickBot="1">
      <c r="B7" s="1241" t="s">
        <v>781</v>
      </c>
      <c r="C7" s="1248" t="s">
        <v>629</v>
      </c>
      <c r="D7" s="1243"/>
      <c r="E7" s="1243"/>
      <c r="F7" s="1243"/>
      <c r="G7" s="1243"/>
      <c r="H7" s="1243"/>
      <c r="I7" s="1244"/>
      <c r="J7" s="1249"/>
      <c r="K7" s="1249"/>
      <c r="L7" s="1250" t="s">
        <v>782</v>
      </c>
      <c r="M7" s="1251">
        <v>18</v>
      </c>
      <c r="N7" s="1252">
        <f>I142</f>
        <v>10</v>
      </c>
      <c r="O7" s="1253"/>
      <c r="P7" s="1254"/>
      <c r="Q7" s="1255"/>
      <c r="R7" s="1256"/>
      <c r="S7" s="1257"/>
      <c r="T7" s="1258"/>
    </row>
    <row r="8" spans="2:79" ht="54.6" customHeight="1">
      <c r="B8" s="1241" t="s">
        <v>783</v>
      </c>
      <c r="C8" s="1259" t="s">
        <v>784</v>
      </c>
      <c r="D8" s="1260"/>
      <c r="E8" s="1260"/>
      <c r="F8" s="1260"/>
      <c r="G8" s="1260"/>
      <c r="H8" s="1260"/>
      <c r="I8" s="1261"/>
      <c r="J8" s="1249"/>
      <c r="K8" s="1249"/>
      <c r="L8" s="1262" t="s">
        <v>785</v>
      </c>
      <c r="M8" s="1263">
        <f>SUM(M4:M7)</f>
        <v>83</v>
      </c>
      <c r="N8" s="1264"/>
      <c r="O8" s="1265" t="s">
        <v>785</v>
      </c>
      <c r="P8" s="1266">
        <f>SUM(P4:P7)</f>
        <v>56</v>
      </c>
      <c r="Q8" s="1267"/>
      <c r="R8" s="1268" t="s">
        <v>786</v>
      </c>
      <c r="S8" s="1269">
        <f>SUM(S4:S7)</f>
        <v>61</v>
      </c>
      <c r="T8" s="1270"/>
    </row>
    <row r="9" spans="2:79" ht="54.6" customHeight="1" thickBot="1">
      <c r="B9" s="1271" t="s">
        <v>787</v>
      </c>
      <c r="C9" s="1272" t="s">
        <v>788</v>
      </c>
      <c r="D9" s="1273"/>
      <c r="E9" s="1273"/>
      <c r="F9" s="1273"/>
      <c r="G9" s="1273"/>
      <c r="H9" s="1273"/>
      <c r="I9" s="1274"/>
      <c r="L9" s="1275" t="s">
        <v>789</v>
      </c>
      <c r="M9" s="1276">
        <f>ROUND(M8*0.3,0)</f>
        <v>25</v>
      </c>
      <c r="N9" s="1234"/>
      <c r="O9" s="1277" t="s">
        <v>790</v>
      </c>
      <c r="P9" s="1278">
        <f>ROUND(P8*0.3,0)</f>
        <v>17</v>
      </c>
      <c r="Q9" s="1279"/>
      <c r="R9" s="1280" t="s">
        <v>791</v>
      </c>
      <c r="S9" s="1281">
        <f>ROUND(S8*0.3,0)</f>
        <v>18</v>
      </c>
      <c r="T9" s="1282"/>
      <c r="U9" s="1283"/>
      <c r="V9" s="1284"/>
      <c r="W9" s="1283"/>
      <c r="AD9" s="1283"/>
      <c r="AK9" s="1283"/>
      <c r="AY9" s="1283"/>
      <c r="BT9" s="1283"/>
    </row>
    <row r="10" spans="2:79" ht="54.6" customHeight="1" thickBot="1">
      <c r="B10" s="1271" t="s">
        <v>792</v>
      </c>
      <c r="C10" s="1285">
        <v>43383</v>
      </c>
      <c r="D10" s="1286"/>
      <c r="E10" s="1286"/>
      <c r="F10" s="1286"/>
      <c r="G10" s="1286"/>
      <c r="H10" s="1286"/>
      <c r="I10" s="1287"/>
      <c r="L10" s="1288" t="s">
        <v>793</v>
      </c>
      <c r="M10" s="1289"/>
      <c r="N10" s="1290">
        <f>SUM(N4:N9)</f>
        <v>58</v>
      </c>
      <c r="O10" s="1291"/>
      <c r="P10" s="1292"/>
      <c r="Q10" s="1293">
        <f>SUM(Q4:Q9)</f>
        <v>38</v>
      </c>
      <c r="R10" s="1294"/>
      <c r="S10" s="1295"/>
      <c r="T10" s="1296">
        <f>SUM(T4:T9)</f>
        <v>33</v>
      </c>
      <c r="U10" s="1297"/>
    </row>
    <row r="11" spans="2:79" ht="36.950000000000003" customHeight="1" thickBot="1">
      <c r="L11" s="1298" t="s">
        <v>794</v>
      </c>
      <c r="M11" s="1299" t="s">
        <v>795</v>
      </c>
      <c r="N11" s="1290" t="str">
        <f>IF(N10&lt;M9,"KO","OK")</f>
        <v>OK</v>
      </c>
      <c r="O11" s="1291"/>
      <c r="P11" s="1293"/>
      <c r="Q11" s="1293" t="str">
        <f>IF(Q10&lt;P9,"KO","OK")</f>
        <v>OK</v>
      </c>
      <c r="R11" s="1294"/>
      <c r="S11" s="1300"/>
      <c r="T11" s="1296" t="str">
        <f>IF(T10&lt;S9,"KO","OK")</f>
        <v>OK</v>
      </c>
    </row>
    <row r="12" spans="2:79" ht="64.5" customHeight="1" thickBot="1">
      <c r="B12" s="1301" t="s">
        <v>796</v>
      </c>
      <c r="C12" s="1302"/>
      <c r="D12" s="1303"/>
      <c r="E12" s="1304" t="str">
        <f>IF(OR(M12=$M$11,M16=$M$11),"ÜT elutasítás","   ")</f>
        <v xml:space="preserve">   </v>
      </c>
      <c r="F12" s="1304"/>
      <c r="G12" s="1305"/>
      <c r="H12" s="1306">
        <f>IF(OR(M12=$M$11,M16=$M$11)," ",I24)</f>
        <v>129</v>
      </c>
      <c r="I12" s="1307"/>
      <c r="J12" s="1249"/>
      <c r="K12" s="1249"/>
      <c r="L12" s="1308" t="s">
        <v>797</v>
      </c>
      <c r="M12" s="1309" t="str">
        <f>IF(OR(N11=M11,Q11=M11,T11=M11),"KO","OK")</f>
        <v>OK</v>
      </c>
      <c r="N12" s="1310" t="str">
        <f>IF(M12=$M$11,"Minősítési csoportonként nem érte el a 30%-ot! :(","Csoportonként elérte a 30%-ot! :-)")</f>
        <v>Csoportonként elérte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798</v>
      </c>
      <c r="C14" s="1314"/>
      <c r="D14" s="1314"/>
      <c r="E14" s="1314"/>
      <c r="F14" s="1314"/>
      <c r="G14" s="1315"/>
      <c r="H14" s="1316">
        <v>60</v>
      </c>
      <c r="I14" s="1317"/>
      <c r="J14" s="1249"/>
      <c r="K14" s="1249"/>
      <c r="L14" s="1318" t="s">
        <v>799</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800</v>
      </c>
      <c r="C16" s="1323"/>
      <c r="D16" s="1304" t="str">
        <f>IF(ISBLANK(H14),O36,IF(OR(M12=$M$11,M14=$M$11),O35,IF(H12&lt;H14,O34,O33)))</f>
        <v>ÜT jóváhagyása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 customHeight="1">
      <c r="B18" s="1228" t="s">
        <v>801</v>
      </c>
      <c r="C18" s="1325">
        <v>200</v>
      </c>
      <c r="D18" s="1326" t="s">
        <v>802</v>
      </c>
      <c r="E18" s="1327" t="s">
        <v>795</v>
      </c>
      <c r="F18" s="1328">
        <v>1</v>
      </c>
      <c r="G18" s="1328">
        <v>2</v>
      </c>
      <c r="H18" s="1328">
        <v>3</v>
      </c>
      <c r="I18" s="1329" t="s">
        <v>105</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 customHeight="1">
      <c r="B19" s="1330" t="s">
        <v>803</v>
      </c>
      <c r="C19" s="1331">
        <v>50</v>
      </c>
      <c r="D19" s="1332"/>
      <c r="E19" s="1333"/>
      <c r="F19" s="1334"/>
      <c r="G19" s="1334"/>
      <c r="H19" s="1334"/>
      <c r="I19" s="1335"/>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7.95" customHeight="1" thickBot="1">
      <c r="B20" s="1336" t="s">
        <v>804</v>
      </c>
      <c r="C20" s="1337">
        <v>60</v>
      </c>
      <c r="D20" s="1338" t="s">
        <v>805</v>
      </c>
      <c r="E20" s="1339">
        <v>6</v>
      </c>
      <c r="F20" s="1339">
        <v>5</v>
      </c>
      <c r="G20" s="1339">
        <v>20</v>
      </c>
      <c r="H20" s="1339">
        <v>8</v>
      </c>
      <c r="I20" s="1340">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 customHeight="1">
      <c r="B21" s="1341"/>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 customHeight="1">
      <c r="I22" s="1201"/>
      <c r="J22" s="1249"/>
      <c r="K22" s="1249"/>
      <c r="L22" s="1249"/>
      <c r="M22" s="1249"/>
      <c r="N22" s="1342"/>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 customHeight="1" thickBot="1">
      <c r="B23" s="1341"/>
      <c r="I23" s="1249"/>
      <c r="J23" s="1249"/>
      <c r="K23" s="1249"/>
      <c r="L23" s="1249"/>
      <c r="M23" s="1249"/>
      <c r="N23" s="1342"/>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3" t="s">
        <v>806</v>
      </c>
      <c r="C24" s="1344"/>
      <c r="D24" s="1344"/>
      <c r="E24" s="1345"/>
      <c r="F24" s="1346"/>
      <c r="G24" s="1347">
        <f>SUM(G25:G384)</f>
        <v>129</v>
      </c>
      <c r="H24" s="1348" t="str">
        <f>IF(OR(G89="KO",G96="KO",G111="KO",G357="KO",G366="KO",G89="KO"),"KO"," ")</f>
        <v xml:space="preserve"> </v>
      </c>
      <c r="I24" s="1347">
        <f>SUM(I25:I384)</f>
        <v>129</v>
      </c>
      <c r="J24" s="1249"/>
      <c r="K24" s="1249"/>
      <c r="L24" s="1249"/>
      <c r="M24" s="1249"/>
      <c r="N24" s="1342"/>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450000000000003" customHeight="1">
      <c r="B25" s="1341"/>
      <c r="I25" s="1249"/>
      <c r="J25" s="1249"/>
      <c r="K25" s="1249"/>
      <c r="L25" s="1249"/>
      <c r="M25" s="1249"/>
      <c r="N25" s="1342"/>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 customHeight="1" thickBo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6" customFormat="1" ht="23.25" customHeight="1" thickBot="1">
      <c r="A27" s="1349"/>
      <c r="B27" s="1350"/>
      <c r="C27" s="1351"/>
      <c r="D27" s="1351"/>
      <c r="E27" s="1352"/>
      <c r="F27" s="1353" t="s">
        <v>807</v>
      </c>
      <c r="G27" s="1354"/>
      <c r="H27" s="1353" t="s">
        <v>808</v>
      </c>
      <c r="I27" s="1355"/>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 customHeight="1" thickBot="1">
      <c r="B28" s="1357" t="s">
        <v>809</v>
      </c>
      <c r="C28" s="1358" t="s">
        <v>810</v>
      </c>
      <c r="D28" s="1358"/>
      <c r="E28" s="1359"/>
      <c r="F28" s="1360">
        <f>+E34+E42</f>
        <v>0</v>
      </c>
      <c r="G28" s="1361"/>
      <c r="H28" s="1362">
        <v>8</v>
      </c>
      <c r="I28" s="1363">
        <f>SUM(G33,G41)</f>
        <v>4</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4"/>
      <c r="C29" s="1365"/>
      <c r="D29" s="1365"/>
      <c r="E29" s="1365"/>
      <c r="F29" s="1366"/>
      <c r="G29" s="1367"/>
      <c r="H29" s="1367"/>
      <c r="I29" s="1249"/>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324">
        <v>1</v>
      </c>
      <c r="B30" s="1364" t="s">
        <v>811</v>
      </c>
      <c r="C30" s="1365"/>
      <c r="D30" s="1365"/>
      <c r="E30" s="1365"/>
      <c r="F30" s="1366"/>
      <c r="G30" s="1368"/>
      <c r="H30" s="1368"/>
      <c r="I30" s="1249"/>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9" t="s">
        <v>812</v>
      </c>
      <c r="C31" s="1370"/>
      <c r="D31" s="1370"/>
      <c r="E31" s="1371"/>
      <c r="F31" s="1366"/>
      <c r="G31" s="1368"/>
      <c r="H31" s="1368"/>
      <c r="I31" s="1249"/>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4" t="s">
        <v>813</v>
      </c>
      <c r="C32" s="1372"/>
      <c r="F32" s="1366"/>
      <c r="G32" s="1368"/>
      <c r="H32" s="1368"/>
      <c r="I32" s="1249"/>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3" t="s">
        <v>814</v>
      </c>
      <c r="C33" s="1374" t="s">
        <v>815</v>
      </c>
      <c r="D33" s="1374" t="s">
        <v>816</v>
      </c>
      <c r="E33" s="1375" t="s">
        <v>817</v>
      </c>
      <c r="F33" s="1376" t="s">
        <v>818</v>
      </c>
      <c r="G33" s="1377">
        <v>3</v>
      </c>
      <c r="H33" s="1368"/>
      <c r="I33" s="1249"/>
      <c r="J33" s="1249"/>
      <c r="K33" s="1249"/>
      <c r="L33" s="1378"/>
      <c r="M33" s="1379"/>
      <c r="N33" s="1380"/>
      <c r="O33" s="1381" t="s">
        <v>819</v>
      </c>
      <c r="P33" s="1382"/>
      <c r="Q33" s="1382"/>
      <c r="R33" s="1382"/>
      <c r="S33" s="1382"/>
      <c r="T33" s="1383"/>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4" t="s">
        <v>820</v>
      </c>
      <c r="C34" s="1385">
        <v>0</v>
      </c>
      <c r="D34" s="1386">
        <v>3</v>
      </c>
      <c r="E34" s="1387">
        <v>0</v>
      </c>
      <c r="F34" s="1388"/>
      <c r="G34" s="1389"/>
      <c r="H34" s="1389"/>
      <c r="I34" s="1390"/>
      <c r="J34" s="1249"/>
      <c r="K34" s="1249"/>
      <c r="L34" s="1391"/>
      <c r="M34" s="1392"/>
      <c r="N34" s="1393"/>
      <c r="O34" s="1381" t="s">
        <v>821</v>
      </c>
      <c r="P34" s="1382"/>
      <c r="Q34" s="1382"/>
      <c r="R34" s="1382"/>
      <c r="S34" s="1382"/>
      <c r="T34" s="1383"/>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4" t="s">
        <v>822</v>
      </c>
      <c r="C35" s="1395">
        <v>1</v>
      </c>
      <c r="D35" s="1396">
        <v>3</v>
      </c>
      <c r="E35" s="1397">
        <v>3</v>
      </c>
      <c r="F35" s="1388"/>
      <c r="G35" s="1398"/>
      <c r="H35" s="1398"/>
      <c r="I35" s="1399"/>
      <c r="J35" s="1249"/>
      <c r="K35" s="1249"/>
      <c r="L35" s="1391"/>
      <c r="M35" s="1392"/>
      <c r="N35" s="1393"/>
      <c r="O35" s="1381" t="s">
        <v>823</v>
      </c>
      <c r="P35" s="1382"/>
      <c r="Q35" s="1382"/>
      <c r="R35" s="1382"/>
      <c r="S35" s="1382"/>
      <c r="T35" s="1383"/>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400" t="s">
        <v>824</v>
      </c>
      <c r="C36" s="1401">
        <v>2</v>
      </c>
      <c r="D36" s="1402">
        <v>3</v>
      </c>
      <c r="E36" s="1403">
        <v>6</v>
      </c>
      <c r="F36" s="1404"/>
      <c r="G36" s="1405"/>
      <c r="H36" s="1405"/>
      <c r="I36" s="1406"/>
      <c r="J36" s="1249"/>
      <c r="K36" s="1249"/>
      <c r="L36" s="1407"/>
      <c r="M36" s="1408"/>
      <c r="N36" s="1409"/>
      <c r="O36" s="1381" t="s">
        <v>825</v>
      </c>
      <c r="P36" s="1382"/>
      <c r="Q36" s="1382"/>
      <c r="R36" s="1382"/>
      <c r="S36" s="1382"/>
      <c r="T36" s="1383"/>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10"/>
      <c r="C37" s="1411"/>
      <c r="D37" s="1411"/>
      <c r="E37" s="1411"/>
      <c r="F37" s="1366"/>
      <c r="G37" s="1368"/>
      <c r="H37" s="1368"/>
      <c r="I37" s="1249"/>
      <c r="J37" s="1249"/>
      <c r="K37" s="1249"/>
      <c r="L37" s="1249"/>
      <c r="M37" s="1249"/>
      <c r="N37" s="1342"/>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324">
        <v>2</v>
      </c>
      <c r="B38" s="1364" t="s">
        <v>826</v>
      </c>
      <c r="C38" s="1365"/>
      <c r="D38" s="1365"/>
      <c r="E38" s="1365"/>
      <c r="F38" s="1366"/>
      <c r="G38" s="1368"/>
      <c r="H38" s="1368"/>
      <c r="I38" s="1249"/>
      <c r="J38" s="1249"/>
      <c r="K38" s="1249"/>
      <c r="L38" s="1249"/>
      <c r="M38" s="1249"/>
      <c r="N38" s="1342"/>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9" t="s">
        <v>827</v>
      </c>
      <c r="C39" s="1370"/>
      <c r="D39" s="1370"/>
      <c r="E39" s="1371"/>
      <c r="F39" s="1366"/>
      <c r="G39" s="1368"/>
      <c r="H39" s="1368"/>
      <c r="I39" s="1249"/>
      <c r="J39" s="1249"/>
      <c r="K39" s="1249"/>
      <c r="L39" s="1249"/>
      <c r="M39" s="1249"/>
      <c r="N39" s="1342"/>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4" t="s">
        <v>813</v>
      </c>
      <c r="C40" s="1372"/>
      <c r="F40" s="1366"/>
      <c r="G40" s="1368"/>
      <c r="H40" s="1368"/>
      <c r="I40" s="1249"/>
      <c r="J40" s="1249"/>
      <c r="K40" s="1249"/>
      <c r="L40" s="1249"/>
      <c r="M40" s="1249"/>
      <c r="N40" s="1342"/>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3" t="s">
        <v>814</v>
      </c>
      <c r="C41" s="1374" t="s">
        <v>815</v>
      </c>
      <c r="D41" s="1374" t="s">
        <v>816</v>
      </c>
      <c r="E41" s="1375" t="s">
        <v>817</v>
      </c>
      <c r="F41" s="1376" t="s">
        <v>818</v>
      </c>
      <c r="G41" s="1412">
        <v>1</v>
      </c>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4" t="s">
        <v>820</v>
      </c>
      <c r="C42" s="1385">
        <v>0</v>
      </c>
      <c r="D42" s="1386">
        <v>1</v>
      </c>
      <c r="E42" s="1387">
        <v>0</v>
      </c>
      <c r="F42" s="1388"/>
      <c r="G42" s="1413"/>
      <c r="H42" s="1413"/>
      <c r="I42" s="1414"/>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4" t="s">
        <v>822</v>
      </c>
      <c r="C43" s="1395">
        <v>1</v>
      </c>
      <c r="D43" s="1396">
        <v>1</v>
      </c>
      <c r="E43" s="1397">
        <v>1</v>
      </c>
      <c r="F43" s="1388"/>
      <c r="G43" s="1415"/>
      <c r="H43" s="1415"/>
      <c r="I43" s="1416"/>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400" t="s">
        <v>824</v>
      </c>
      <c r="C44" s="1401">
        <v>2</v>
      </c>
      <c r="D44" s="1402">
        <v>1</v>
      </c>
      <c r="E44" s="1403">
        <v>2</v>
      </c>
      <c r="F44" s="1404"/>
      <c r="G44" s="1417"/>
      <c r="H44" s="1417"/>
      <c r="I44" s="1418"/>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10"/>
      <c r="C45" s="1411"/>
      <c r="D45" s="1411"/>
      <c r="E45" s="1411"/>
      <c r="F45" s="1366"/>
      <c r="G45" s="1368"/>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6"/>
      <c r="I46" s="1201"/>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6" customFormat="1" ht="23.25" customHeight="1" thickBot="1">
      <c r="A47" s="1349"/>
      <c r="B47" s="1350"/>
      <c r="C47" s="1351"/>
      <c r="D47" s="1351"/>
      <c r="E47" s="1352"/>
      <c r="F47" s="1353" t="s">
        <v>807</v>
      </c>
      <c r="G47" s="1354"/>
      <c r="H47" s="1353" t="s">
        <v>808</v>
      </c>
      <c r="I47" s="1355"/>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 customHeight="1" thickBot="1">
      <c r="B48" s="1357" t="s">
        <v>828</v>
      </c>
      <c r="C48" s="1358" t="s">
        <v>829</v>
      </c>
      <c r="D48" s="1358"/>
      <c r="E48" s="1359"/>
      <c r="F48" s="1360">
        <v>1</v>
      </c>
      <c r="G48" s="1361"/>
      <c r="H48" s="1362">
        <v>17</v>
      </c>
      <c r="I48" s="1363">
        <f>SUM(G53,G61,G69,G77)</f>
        <v>9</v>
      </c>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4"/>
      <c r="C49" s="1365"/>
      <c r="D49" s="1365"/>
      <c r="E49" s="1365"/>
      <c r="F49" s="1366"/>
      <c r="G49" s="1367"/>
      <c r="H49" s="1367"/>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324">
        <v>3</v>
      </c>
      <c r="B50" s="1364" t="s">
        <v>830</v>
      </c>
      <c r="C50" s="1365"/>
      <c r="D50" s="1365"/>
      <c r="E50" s="1365"/>
      <c r="F50" s="1366"/>
      <c r="G50" s="1368"/>
      <c r="H50" s="1368"/>
      <c r="I50" s="1249"/>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9" t="s">
        <v>831</v>
      </c>
      <c r="C51" s="1370"/>
      <c r="D51" s="1370"/>
      <c r="E51" s="1371"/>
      <c r="F51" s="1366"/>
      <c r="G51" s="1368"/>
      <c r="H51" s="1368"/>
      <c r="I51" s="1249"/>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4" t="s">
        <v>813</v>
      </c>
      <c r="C52" s="1372"/>
      <c r="F52" s="1366"/>
      <c r="G52" s="1368"/>
      <c r="H52" s="1368"/>
      <c r="I52" s="1249"/>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3" t="s">
        <v>814</v>
      </c>
      <c r="C53" s="1374" t="s">
        <v>815</v>
      </c>
      <c r="D53" s="1374" t="s">
        <v>816</v>
      </c>
      <c r="E53" s="1375" t="s">
        <v>817</v>
      </c>
      <c r="F53" s="1419" t="s">
        <v>818</v>
      </c>
      <c r="G53" s="1412">
        <v>2</v>
      </c>
      <c r="H53" s="1368"/>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4" t="s">
        <v>832</v>
      </c>
      <c r="C54" s="1385">
        <v>1</v>
      </c>
      <c r="D54" s="1386">
        <v>1</v>
      </c>
      <c r="E54" s="1387">
        <v>1</v>
      </c>
      <c r="F54" s="1420"/>
      <c r="G54" s="1413"/>
      <c r="H54" s="1413"/>
      <c r="I54" s="1414"/>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4" t="s">
        <v>833</v>
      </c>
      <c r="C55" s="1395">
        <v>2</v>
      </c>
      <c r="D55" s="1396">
        <v>1</v>
      </c>
      <c r="E55" s="1397">
        <v>2</v>
      </c>
      <c r="F55" s="1420"/>
      <c r="G55" s="1415"/>
      <c r="H55" s="1415"/>
      <c r="I55" s="1416"/>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450000000000003" customHeight="1" thickBot="1">
      <c r="B56" s="1400" t="s">
        <v>834</v>
      </c>
      <c r="C56" s="1401">
        <v>3</v>
      </c>
      <c r="D56" s="1402">
        <v>1</v>
      </c>
      <c r="E56" s="1403">
        <v>3</v>
      </c>
      <c r="F56" s="1421"/>
      <c r="G56" s="1417"/>
      <c r="H56" s="1417"/>
      <c r="I56" s="1418"/>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10"/>
      <c r="C57" s="1411"/>
      <c r="D57" s="1411"/>
      <c r="E57" s="1411"/>
      <c r="F57" s="1366"/>
      <c r="G57" s="1368"/>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324">
        <v>4</v>
      </c>
      <c r="B58" s="1364" t="s">
        <v>835</v>
      </c>
      <c r="C58" s="1365"/>
      <c r="D58" s="1365"/>
      <c r="E58" s="1365"/>
      <c r="F58" s="1366"/>
      <c r="G58" s="1368"/>
      <c r="H58" s="1368"/>
      <c r="I58" s="1249"/>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9" t="s">
        <v>836</v>
      </c>
      <c r="C59" s="1370"/>
      <c r="D59" s="1370"/>
      <c r="E59" s="1371"/>
      <c r="F59" s="1366"/>
      <c r="G59" s="1368"/>
      <c r="H59" s="1368"/>
      <c r="I59" s="1249"/>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4" t="s">
        <v>813</v>
      </c>
      <c r="C60" s="1372"/>
      <c r="F60" s="1366"/>
      <c r="G60" s="1368"/>
      <c r="H60" s="1368"/>
      <c r="I60" s="1249"/>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3" t="s">
        <v>814</v>
      </c>
      <c r="C61" s="1374" t="s">
        <v>815</v>
      </c>
      <c r="D61" s="1374" t="s">
        <v>816</v>
      </c>
      <c r="E61" s="1375" t="s">
        <v>817</v>
      </c>
      <c r="F61" s="1419" t="s">
        <v>818</v>
      </c>
      <c r="G61" s="1412">
        <v>2</v>
      </c>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4" t="s">
        <v>837</v>
      </c>
      <c r="C62" s="1385">
        <v>0</v>
      </c>
      <c r="D62" s="1386">
        <v>2</v>
      </c>
      <c r="E62" s="1387">
        <v>0</v>
      </c>
      <c r="F62" s="1420"/>
      <c r="G62" s="1413"/>
      <c r="H62" s="1413"/>
      <c r="I62" s="1414"/>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4" t="s">
        <v>838</v>
      </c>
      <c r="C63" s="1395">
        <v>1</v>
      </c>
      <c r="D63" s="1396">
        <v>2</v>
      </c>
      <c r="E63" s="1397">
        <v>2</v>
      </c>
      <c r="F63" s="1420"/>
      <c r="G63" s="1415"/>
      <c r="H63" s="1415"/>
      <c r="I63" s="1416"/>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8.95" customHeight="1" thickBot="1">
      <c r="B64" s="1400" t="s">
        <v>839</v>
      </c>
      <c r="C64" s="1401">
        <v>2</v>
      </c>
      <c r="D64" s="1402">
        <v>2</v>
      </c>
      <c r="E64" s="1403">
        <v>4</v>
      </c>
      <c r="F64" s="1421"/>
      <c r="G64" s="1417"/>
      <c r="H64" s="1417"/>
      <c r="I64" s="1418"/>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10"/>
      <c r="C65" s="1411"/>
      <c r="D65" s="1411"/>
      <c r="E65" s="1411"/>
      <c r="F65" s="1366"/>
      <c r="G65" s="1368"/>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324">
        <v>5</v>
      </c>
      <c r="B66" s="1364" t="s">
        <v>840</v>
      </c>
      <c r="C66" s="1365"/>
      <c r="D66" s="1365"/>
      <c r="E66" s="1365"/>
      <c r="F66" s="1366"/>
      <c r="G66" s="1368"/>
      <c r="H66" s="1368"/>
      <c r="I66" s="1249"/>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9" t="s">
        <v>841</v>
      </c>
      <c r="C67" s="1370"/>
      <c r="D67" s="1370"/>
      <c r="E67" s="1371"/>
      <c r="F67" s="1366"/>
      <c r="G67" s="1368"/>
      <c r="H67" s="1368"/>
      <c r="I67" s="1249"/>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4" t="s">
        <v>813</v>
      </c>
      <c r="C68" s="1372"/>
      <c r="F68" s="1366"/>
      <c r="G68" s="1368"/>
      <c r="H68" s="1368"/>
      <c r="I68" s="1249"/>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 customHeight="1" thickBot="1">
      <c r="B69" s="1373" t="s">
        <v>814</v>
      </c>
      <c r="C69" s="1374" t="s">
        <v>815</v>
      </c>
      <c r="D69" s="1374" t="s">
        <v>816</v>
      </c>
      <c r="E69" s="1375" t="s">
        <v>817</v>
      </c>
      <c r="F69" s="1419" t="s">
        <v>818</v>
      </c>
      <c r="G69" s="1412">
        <v>2</v>
      </c>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4" t="s">
        <v>820</v>
      </c>
      <c r="C70" s="1385">
        <v>0</v>
      </c>
      <c r="D70" s="1386">
        <v>2</v>
      </c>
      <c r="E70" s="1387">
        <v>0</v>
      </c>
      <c r="F70" s="1420"/>
      <c r="G70" s="1413"/>
      <c r="H70" s="1413"/>
      <c r="I70" s="1414"/>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4" t="s">
        <v>822</v>
      </c>
      <c r="C71" s="1395">
        <v>1</v>
      </c>
      <c r="D71" s="1396">
        <v>2</v>
      </c>
      <c r="E71" s="1397">
        <v>2</v>
      </c>
      <c r="F71" s="1420"/>
      <c r="G71" s="1415"/>
      <c r="H71" s="1415"/>
      <c r="I71" s="1416"/>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400" t="s">
        <v>824</v>
      </c>
      <c r="C72" s="1401">
        <v>2</v>
      </c>
      <c r="D72" s="1402">
        <v>2</v>
      </c>
      <c r="E72" s="1403">
        <v>4</v>
      </c>
      <c r="F72" s="1421"/>
      <c r="G72" s="1417"/>
      <c r="H72" s="1417"/>
      <c r="I72" s="1418"/>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10"/>
      <c r="C73" s="1411"/>
      <c r="D73" s="1411"/>
      <c r="E73" s="1411"/>
      <c r="F73" s="1366"/>
      <c r="G73" s="1368"/>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324">
        <v>6</v>
      </c>
      <c r="B74" s="1364" t="s">
        <v>842</v>
      </c>
      <c r="C74" s="1365"/>
      <c r="D74" s="1365"/>
      <c r="E74" s="1365"/>
      <c r="F74" s="1366"/>
      <c r="G74" s="1368"/>
      <c r="H74" s="1368"/>
      <c r="I74" s="1249"/>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9" t="s">
        <v>843</v>
      </c>
      <c r="C75" s="1370"/>
      <c r="D75" s="1370"/>
      <c r="E75" s="1371"/>
      <c r="F75" s="1366"/>
      <c r="G75" s="1368"/>
      <c r="H75" s="1368"/>
      <c r="I75" s="1249"/>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4" t="s">
        <v>844</v>
      </c>
      <c r="C76" s="1372"/>
      <c r="F76" s="1366"/>
      <c r="G76" s="1368"/>
      <c r="H76" s="1368"/>
      <c r="I76" s="1249"/>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3" t="s">
        <v>814</v>
      </c>
      <c r="C77" s="1374" t="s">
        <v>815</v>
      </c>
      <c r="D77" s="1374" t="s">
        <v>816</v>
      </c>
      <c r="E77" s="1375" t="s">
        <v>817</v>
      </c>
      <c r="F77" s="1419" t="s">
        <v>818</v>
      </c>
      <c r="G77" s="1412">
        <v>3</v>
      </c>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4" t="s">
        <v>820</v>
      </c>
      <c r="C78" s="1385">
        <v>0</v>
      </c>
      <c r="D78" s="1386">
        <v>3</v>
      </c>
      <c r="E78" s="1387">
        <v>0</v>
      </c>
      <c r="F78" s="1420"/>
      <c r="G78" s="1413"/>
      <c r="H78" s="1413"/>
      <c r="I78" s="1414"/>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4" t="s">
        <v>822</v>
      </c>
      <c r="C79" s="1395">
        <v>1</v>
      </c>
      <c r="D79" s="1396">
        <v>3</v>
      </c>
      <c r="E79" s="1397">
        <v>3</v>
      </c>
      <c r="F79" s="1420"/>
      <c r="G79" s="1415"/>
      <c r="H79" s="1415"/>
      <c r="I79" s="1416"/>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400" t="s">
        <v>824</v>
      </c>
      <c r="C80" s="1401">
        <v>2</v>
      </c>
      <c r="D80" s="1402">
        <v>3</v>
      </c>
      <c r="E80" s="1403">
        <v>6</v>
      </c>
      <c r="F80" s="1421"/>
      <c r="G80" s="1417"/>
      <c r="H80" s="1417"/>
      <c r="I80" s="1418"/>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10"/>
      <c r="C81" s="1411"/>
      <c r="D81" s="1411"/>
      <c r="E81" s="1411"/>
      <c r="F81" s="1366"/>
      <c r="G81" s="1368"/>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6"/>
      <c r="I82" s="1201"/>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6" customFormat="1" ht="23.25" customHeight="1" thickBot="1">
      <c r="A83" s="1349"/>
      <c r="B83" s="1350"/>
      <c r="C83" s="1351"/>
      <c r="D83" s="1351"/>
      <c r="E83" s="1352"/>
      <c r="F83" s="1353" t="s">
        <v>807</v>
      </c>
      <c r="G83" s="1354"/>
      <c r="H83" s="1353" t="s">
        <v>808</v>
      </c>
      <c r="I83" s="1422" t="str">
        <f>IF(OR(G89="KO",G96="KO",G111="KO"),"KO","Nincs KO")</f>
        <v>Nincs KO</v>
      </c>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7" t="s">
        <v>845</v>
      </c>
      <c r="C84" s="1358" t="s">
        <v>846</v>
      </c>
      <c r="D84" s="1358"/>
      <c r="E84" s="1359"/>
      <c r="F84" s="1360">
        <v>22</v>
      </c>
      <c r="G84" s="1361"/>
      <c r="H84" s="1362">
        <v>40</v>
      </c>
      <c r="I84" s="1363">
        <f>SUM(G89,G96,G103,G111,G118,G126,G134)</f>
        <v>35</v>
      </c>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4"/>
      <c r="C85" s="1365"/>
      <c r="D85" s="1365"/>
      <c r="E85" s="1365"/>
      <c r="F85" s="1366"/>
      <c r="G85" s="1367"/>
      <c r="H85" s="1367"/>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324">
        <v>7</v>
      </c>
      <c r="B86" s="1364" t="s">
        <v>847</v>
      </c>
      <c r="C86" s="1365"/>
      <c r="D86" s="1365"/>
      <c r="E86" s="1365"/>
      <c r="F86" s="1366"/>
      <c r="G86" s="1368"/>
      <c r="H86" s="1368"/>
      <c r="I86" s="1249"/>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9" t="s">
        <v>848</v>
      </c>
      <c r="C87" s="1370"/>
      <c r="D87" s="1370"/>
      <c r="E87" s="1371"/>
      <c r="F87" s="1366"/>
      <c r="G87" s="1368"/>
      <c r="H87" s="1368"/>
      <c r="I87" s="1249"/>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4" t="s">
        <v>844</v>
      </c>
      <c r="C88" s="1372"/>
      <c r="F88" s="1366"/>
      <c r="G88" s="1368"/>
      <c r="H88" s="1368"/>
      <c r="I88" s="1249"/>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3" t="s">
        <v>814</v>
      </c>
      <c r="C89" s="1424" t="s">
        <v>815</v>
      </c>
      <c r="D89" s="1424" t="s">
        <v>816</v>
      </c>
      <c r="E89" s="1425" t="s">
        <v>817</v>
      </c>
      <c r="F89" s="1419" t="s">
        <v>818</v>
      </c>
      <c r="G89" s="1412">
        <v>5</v>
      </c>
      <c r="H89" s="1368"/>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4" t="s">
        <v>849</v>
      </c>
      <c r="C90" s="1426" t="s">
        <v>850</v>
      </c>
      <c r="D90" s="1427"/>
      <c r="E90" s="1428" t="s">
        <v>795</v>
      </c>
      <c r="F90" s="1420"/>
      <c r="G90" s="1413"/>
      <c r="H90" s="1413"/>
      <c r="I90" s="1414"/>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400" t="s">
        <v>851</v>
      </c>
      <c r="C91" s="1429">
        <v>5</v>
      </c>
      <c r="D91" s="1402">
        <v>1</v>
      </c>
      <c r="E91" s="1403">
        <v>5</v>
      </c>
      <c r="F91" s="1421"/>
      <c r="G91" s="1417"/>
      <c r="H91" s="1417"/>
      <c r="I91" s="1418"/>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4"/>
      <c r="C92" s="1365"/>
      <c r="D92" s="1365"/>
      <c r="E92" s="1365"/>
      <c r="F92" s="1430"/>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324">
        <v>8</v>
      </c>
      <c r="B93" s="1364" t="s">
        <v>852</v>
      </c>
      <c r="C93" s="1365"/>
      <c r="D93" s="1365"/>
      <c r="E93" s="1365"/>
      <c r="F93" s="1366"/>
      <c r="G93" s="1368"/>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9" t="s">
        <v>853</v>
      </c>
      <c r="C94" s="1370"/>
      <c r="D94" s="1370"/>
      <c r="E94" s="1371"/>
      <c r="F94" s="1366"/>
      <c r="G94" s="1368"/>
      <c r="H94" s="1368"/>
      <c r="I94" s="1249"/>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4" t="s">
        <v>844</v>
      </c>
      <c r="C95" s="1372"/>
      <c r="F95" s="1366"/>
      <c r="G95" s="1368"/>
      <c r="H95" s="1368"/>
      <c r="I95" s="1249"/>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3" t="s">
        <v>814</v>
      </c>
      <c r="C96" s="1424" t="s">
        <v>815</v>
      </c>
      <c r="D96" s="1424" t="s">
        <v>816</v>
      </c>
      <c r="E96" s="1425" t="s">
        <v>817</v>
      </c>
      <c r="F96" s="1419" t="s">
        <v>818</v>
      </c>
      <c r="G96" s="1412">
        <v>5</v>
      </c>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4" t="s">
        <v>849</v>
      </c>
      <c r="C97" s="1426" t="s">
        <v>850</v>
      </c>
      <c r="D97" s="1427"/>
      <c r="E97" s="1428" t="s">
        <v>795</v>
      </c>
      <c r="F97" s="1420"/>
      <c r="G97" s="1413"/>
      <c r="H97" s="1413"/>
      <c r="I97" s="1414"/>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400" t="s">
        <v>851</v>
      </c>
      <c r="C98" s="1429">
        <v>5</v>
      </c>
      <c r="D98" s="1402">
        <v>1</v>
      </c>
      <c r="E98" s="1403">
        <v>5</v>
      </c>
      <c r="F98" s="1421"/>
      <c r="G98" s="1417"/>
      <c r="H98" s="1417"/>
      <c r="I98" s="1418"/>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4"/>
      <c r="C99" s="1365"/>
      <c r="D99" s="1365"/>
      <c r="E99" s="1365"/>
      <c r="F99" s="1430"/>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324">
        <v>9</v>
      </c>
      <c r="B100" s="1364" t="s">
        <v>854</v>
      </c>
      <c r="C100" s="1365"/>
      <c r="D100" s="1365"/>
      <c r="E100" s="1365"/>
      <c r="F100" s="1431"/>
      <c r="G100" s="1368"/>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9" t="s">
        <v>855</v>
      </c>
      <c r="C101" s="1370"/>
      <c r="D101" s="1370"/>
      <c r="E101" s="1371"/>
      <c r="F101" s="1431"/>
      <c r="G101" s="1368"/>
      <c r="H101" s="1368"/>
      <c r="I101" s="1249"/>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4" t="s">
        <v>844</v>
      </c>
      <c r="C102" s="1372"/>
      <c r="F102" s="1431"/>
      <c r="G102" s="1368"/>
      <c r="H102" s="1368"/>
      <c r="I102" s="1249"/>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3" t="s">
        <v>814</v>
      </c>
      <c r="C103" s="1374" t="s">
        <v>815</v>
      </c>
      <c r="D103" s="1374" t="s">
        <v>816</v>
      </c>
      <c r="E103" s="1375" t="s">
        <v>817</v>
      </c>
      <c r="F103" s="1419" t="s">
        <v>818</v>
      </c>
      <c r="G103" s="1412">
        <v>4</v>
      </c>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4" t="s">
        <v>856</v>
      </c>
      <c r="C104" s="1385">
        <v>1</v>
      </c>
      <c r="D104" s="1386">
        <v>2</v>
      </c>
      <c r="E104" s="1387">
        <v>2</v>
      </c>
      <c r="F104" s="1420"/>
      <c r="G104" s="1413"/>
      <c r="H104" s="1413"/>
      <c r="I104" s="1414"/>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4" t="s">
        <v>857</v>
      </c>
      <c r="C105" s="1395">
        <v>2</v>
      </c>
      <c r="D105" s="1396">
        <v>2</v>
      </c>
      <c r="E105" s="1397">
        <v>4</v>
      </c>
      <c r="F105" s="1420"/>
      <c r="G105" s="1415"/>
      <c r="H105" s="1415"/>
      <c r="I105" s="1416"/>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400" t="s">
        <v>858</v>
      </c>
      <c r="C106" s="1401">
        <v>3</v>
      </c>
      <c r="D106" s="1402">
        <v>2</v>
      </c>
      <c r="E106" s="1403">
        <v>6</v>
      </c>
      <c r="F106" s="1421"/>
      <c r="G106" s="1417"/>
      <c r="H106" s="1417"/>
      <c r="I106" s="1418"/>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10"/>
      <c r="C107" s="1411"/>
      <c r="D107" s="1411"/>
      <c r="E107" s="1411"/>
      <c r="F107" s="1431"/>
      <c r="G107" s="1368"/>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324">
        <v>10</v>
      </c>
      <c r="B108" s="1364" t="s">
        <v>859</v>
      </c>
      <c r="C108" s="1365"/>
      <c r="D108" s="1365"/>
      <c r="E108" s="1365"/>
      <c r="F108" s="1431"/>
      <c r="G108" s="1368"/>
      <c r="H108" s="1368"/>
      <c r="I108" s="1249"/>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9" t="s">
        <v>860</v>
      </c>
      <c r="C109" s="1370"/>
      <c r="D109" s="1370"/>
      <c r="E109" s="1371"/>
      <c r="F109" s="1431"/>
      <c r="G109" s="1368"/>
      <c r="H109" s="1368"/>
      <c r="I109" s="1249"/>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4" t="s">
        <v>844</v>
      </c>
      <c r="C110" s="1372"/>
      <c r="F110" s="1431"/>
      <c r="G110" s="1368"/>
      <c r="H110" s="1368"/>
      <c r="I110" s="1249"/>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3" t="s">
        <v>814</v>
      </c>
      <c r="C111" s="1424" t="s">
        <v>815</v>
      </c>
      <c r="D111" s="1424" t="s">
        <v>816</v>
      </c>
      <c r="E111" s="1425" t="s">
        <v>817</v>
      </c>
      <c r="F111" s="1419" t="s">
        <v>818</v>
      </c>
      <c r="G111" s="1412">
        <v>5</v>
      </c>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4" t="s">
        <v>849</v>
      </c>
      <c r="C112" s="1426" t="s">
        <v>850</v>
      </c>
      <c r="D112" s="1427"/>
      <c r="E112" s="1428" t="s">
        <v>795</v>
      </c>
      <c r="F112" s="1420"/>
      <c r="G112" s="1413"/>
      <c r="H112" s="1413"/>
      <c r="I112" s="1414"/>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400" t="s">
        <v>851</v>
      </c>
      <c r="C113" s="1429">
        <v>5</v>
      </c>
      <c r="D113" s="1402">
        <v>1</v>
      </c>
      <c r="E113" s="1403">
        <v>5</v>
      </c>
      <c r="F113" s="1421"/>
      <c r="G113" s="1417"/>
      <c r="H113" s="1417"/>
      <c r="I113" s="1418"/>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4"/>
      <c r="C114" s="1365"/>
      <c r="D114" s="1365"/>
      <c r="E114" s="1365"/>
      <c r="F114" s="1365"/>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324">
        <v>11</v>
      </c>
      <c r="B115" s="1364" t="s">
        <v>861</v>
      </c>
      <c r="C115" s="1365"/>
      <c r="D115" s="1365"/>
      <c r="E115" s="1365"/>
      <c r="F115" s="1431"/>
      <c r="G115" s="1368"/>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9" t="s">
        <v>862</v>
      </c>
      <c r="C116" s="1370"/>
      <c r="D116" s="1370"/>
      <c r="E116" s="1371"/>
      <c r="F116" s="1431"/>
      <c r="G116" s="1368"/>
      <c r="H116" s="1368"/>
      <c r="I116" s="1249"/>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4" t="s">
        <v>813</v>
      </c>
      <c r="C117" s="1372"/>
      <c r="F117" s="1431"/>
      <c r="G117" s="1368"/>
      <c r="H117" s="1368"/>
      <c r="I117" s="1249"/>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2" t="s">
        <v>814</v>
      </c>
      <c r="C118" s="1433" t="s">
        <v>815</v>
      </c>
      <c r="D118" s="1434" t="s">
        <v>816</v>
      </c>
      <c r="E118" s="1435" t="s">
        <v>817</v>
      </c>
      <c r="F118" s="1419" t="s">
        <v>818</v>
      </c>
      <c r="G118" s="1412">
        <v>6</v>
      </c>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39.950000000000003" customHeight="1" thickTop="1" thickBot="1">
      <c r="B119" s="1436" t="s">
        <v>863</v>
      </c>
      <c r="C119" s="1437">
        <v>1</v>
      </c>
      <c r="D119" s="1438">
        <v>3</v>
      </c>
      <c r="E119" s="1439">
        <v>3</v>
      </c>
      <c r="F119" s="1420"/>
      <c r="G119" s="1413"/>
      <c r="H119" s="1413"/>
      <c r="I119" s="1414"/>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40" t="s">
        <v>864</v>
      </c>
      <c r="C120" s="1441">
        <v>2</v>
      </c>
      <c r="D120" s="1442">
        <v>3</v>
      </c>
      <c r="E120" s="1441">
        <v>6</v>
      </c>
      <c r="F120" s="1420"/>
      <c r="G120" s="1415"/>
      <c r="H120" s="1415"/>
      <c r="I120" s="1416"/>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40" t="s">
        <v>865</v>
      </c>
      <c r="C121" s="1443">
        <v>3</v>
      </c>
      <c r="D121" s="1444">
        <v>3</v>
      </c>
      <c r="E121" s="1443">
        <v>9</v>
      </c>
      <c r="F121" s="1421"/>
      <c r="G121" s="1417"/>
      <c r="H121" s="1417"/>
      <c r="I121" s="1418"/>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10"/>
      <c r="C122" s="1430"/>
      <c r="D122" s="1430"/>
      <c r="E122" s="1430"/>
      <c r="F122" s="1431"/>
      <c r="G122" s="1368"/>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324">
        <v>12</v>
      </c>
      <c r="B123" s="1364" t="s">
        <v>866</v>
      </c>
      <c r="C123" s="1365"/>
      <c r="D123" s="1365"/>
      <c r="E123" s="1365"/>
      <c r="F123" s="1431"/>
      <c r="G123" s="1368"/>
      <c r="H123" s="1368"/>
      <c r="I123" s="1249"/>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9" t="s">
        <v>867</v>
      </c>
      <c r="C124" s="1370"/>
      <c r="D124" s="1370"/>
      <c r="E124" s="1371"/>
      <c r="F124" s="1431"/>
      <c r="G124" s="1368"/>
      <c r="H124" s="1368"/>
      <c r="I124" s="1249"/>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4" t="s">
        <v>813</v>
      </c>
      <c r="C125" s="1372"/>
      <c r="F125" s="1431"/>
      <c r="G125" s="1368"/>
      <c r="H125" s="1368"/>
      <c r="I125" s="1249"/>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2" t="s">
        <v>814</v>
      </c>
      <c r="C126" s="1433" t="s">
        <v>815</v>
      </c>
      <c r="D126" s="1434" t="s">
        <v>816</v>
      </c>
      <c r="E126" s="1435" t="s">
        <v>817</v>
      </c>
      <c r="F126" s="1419" t="s">
        <v>818</v>
      </c>
      <c r="G126" s="1412">
        <v>6</v>
      </c>
      <c r="H126" s="1368"/>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6" t="s">
        <v>820</v>
      </c>
      <c r="C127" s="1437">
        <v>1</v>
      </c>
      <c r="D127" s="1438">
        <v>2</v>
      </c>
      <c r="E127" s="1439">
        <f>C127*D127</f>
        <v>2</v>
      </c>
      <c r="F127" s="1420"/>
      <c r="G127" s="1413"/>
      <c r="H127" s="1413"/>
      <c r="I127" s="1414"/>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40" t="s">
        <v>868</v>
      </c>
      <c r="C128" s="1441">
        <v>2</v>
      </c>
      <c r="D128" s="1442">
        <v>2</v>
      </c>
      <c r="E128" s="1441">
        <f>C128*D128</f>
        <v>4</v>
      </c>
      <c r="F128" s="1420"/>
      <c r="G128" s="1415"/>
      <c r="H128" s="1415"/>
      <c r="I128" s="1416"/>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8.95" customHeight="1" thickBot="1">
      <c r="B129" s="1440" t="s">
        <v>869</v>
      </c>
      <c r="C129" s="1443">
        <v>3</v>
      </c>
      <c r="D129" s="1444">
        <v>2</v>
      </c>
      <c r="E129" s="1443">
        <f>C129*D129</f>
        <v>6</v>
      </c>
      <c r="F129" s="1421"/>
      <c r="G129" s="1417"/>
      <c r="H129" s="1417"/>
      <c r="I129" s="1418"/>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10"/>
      <c r="C130" s="1430"/>
      <c r="D130" s="1430"/>
      <c r="E130" s="1430"/>
      <c r="F130" s="1431"/>
      <c r="G130" s="1368"/>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324">
        <v>13</v>
      </c>
      <c r="B131" s="1364" t="s">
        <v>870</v>
      </c>
      <c r="C131" s="1365"/>
      <c r="D131" s="1365"/>
      <c r="E131" s="1365"/>
      <c r="F131" s="1431"/>
      <c r="G131" s="1368"/>
      <c r="H131" s="1368"/>
      <c r="I131" s="1249"/>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9" t="s">
        <v>871</v>
      </c>
      <c r="C132" s="1370"/>
      <c r="D132" s="1370"/>
      <c r="E132" s="1371"/>
      <c r="F132" s="1431"/>
      <c r="G132" s="1368"/>
      <c r="H132" s="1368"/>
      <c r="I132" s="1249"/>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4" t="s">
        <v>813</v>
      </c>
      <c r="C133" s="1372"/>
      <c r="F133" s="1431"/>
      <c r="G133" s="1368"/>
      <c r="H133" s="1368"/>
      <c r="I133" s="1249"/>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2" t="s">
        <v>814</v>
      </c>
      <c r="C134" s="1433" t="s">
        <v>815</v>
      </c>
      <c r="D134" s="1434" t="s">
        <v>816</v>
      </c>
      <c r="E134" s="1435" t="s">
        <v>817</v>
      </c>
      <c r="F134" s="1419" t="s">
        <v>818</v>
      </c>
      <c r="G134" s="1412">
        <v>4</v>
      </c>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 customHeight="1" thickTop="1" thickBot="1">
      <c r="B135" s="1436" t="s">
        <v>872</v>
      </c>
      <c r="C135" s="1437">
        <v>0</v>
      </c>
      <c r="D135" s="1438">
        <v>2</v>
      </c>
      <c r="E135" s="1439">
        <v>0</v>
      </c>
      <c r="F135" s="1420"/>
      <c r="G135" s="1413"/>
      <c r="H135" s="1413"/>
      <c r="I135" s="1414"/>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9.950000000000003" customHeight="1" thickBot="1">
      <c r="B136" s="1440" t="s">
        <v>873</v>
      </c>
      <c r="C136" s="1441">
        <v>1</v>
      </c>
      <c r="D136" s="1442">
        <v>2</v>
      </c>
      <c r="E136" s="1441">
        <v>2</v>
      </c>
      <c r="F136" s="1420"/>
      <c r="G136" s="1415"/>
      <c r="H136" s="1415"/>
      <c r="I136" s="1416"/>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45" customHeight="1" thickBot="1">
      <c r="B137" s="1440" t="s">
        <v>874</v>
      </c>
      <c r="C137" s="1443">
        <v>2</v>
      </c>
      <c r="D137" s="1444">
        <v>2</v>
      </c>
      <c r="E137" s="1443">
        <v>4</v>
      </c>
      <c r="F137" s="1421"/>
      <c r="G137" s="1417"/>
      <c r="H137" s="1417"/>
      <c r="I137" s="1418"/>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10"/>
      <c r="C138" s="1430"/>
      <c r="D138" s="1430"/>
      <c r="E138" s="1430"/>
      <c r="F138" s="1431"/>
      <c r="G138" s="1368"/>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 customHeight="1">
      <c r="F139" s="1431"/>
      <c r="I139" s="1249"/>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1"/>
      <c r="I140" s="1201"/>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6" customFormat="1" ht="23.25" customHeight="1" thickBot="1">
      <c r="A141" s="1349"/>
      <c r="B141" s="1350"/>
      <c r="C141" s="1351"/>
      <c r="D141" s="1351"/>
      <c r="E141" s="1352"/>
      <c r="F141" s="1353" t="s">
        <v>807</v>
      </c>
      <c r="G141" s="1354"/>
      <c r="H141" s="1353" t="s">
        <v>808</v>
      </c>
      <c r="I141" s="1355"/>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39.950000000000003" customHeight="1" thickBot="1">
      <c r="B142" s="1357" t="s">
        <v>875</v>
      </c>
      <c r="C142" s="1358" t="s">
        <v>876</v>
      </c>
      <c r="D142" s="1358"/>
      <c r="E142" s="1359"/>
      <c r="F142" s="1360">
        <v>6</v>
      </c>
      <c r="G142" s="1361"/>
      <c r="H142" s="1362">
        <v>18</v>
      </c>
      <c r="I142" s="1363">
        <f>SUM(G147,G155,G163)</f>
        <v>10</v>
      </c>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4"/>
      <c r="C143" s="1365"/>
      <c r="D143" s="1365"/>
      <c r="E143" s="1365"/>
      <c r="F143" s="1431"/>
      <c r="G143" s="1367"/>
      <c r="H143" s="1367"/>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324">
        <v>14</v>
      </c>
      <c r="B144" s="1364" t="s">
        <v>877</v>
      </c>
      <c r="C144" s="1365"/>
      <c r="D144" s="1365"/>
      <c r="E144" s="1365"/>
      <c r="F144" s="1431"/>
      <c r="G144" s="1368"/>
      <c r="H144" s="1368"/>
      <c r="I144" s="1249"/>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9" t="s">
        <v>878</v>
      </c>
      <c r="C145" s="1370"/>
      <c r="D145" s="1370"/>
      <c r="E145" s="1371"/>
      <c r="F145" s="1431"/>
      <c r="G145" s="1368"/>
      <c r="H145" s="1368"/>
      <c r="I145" s="1249"/>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4" t="s">
        <v>813</v>
      </c>
      <c r="C146" s="1372"/>
      <c r="F146" s="1431"/>
      <c r="G146" s="1368"/>
      <c r="H146" s="1368"/>
      <c r="I146" s="1249"/>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3" t="s">
        <v>814</v>
      </c>
      <c r="C147" s="1374" t="s">
        <v>815</v>
      </c>
      <c r="D147" s="1374" t="s">
        <v>816</v>
      </c>
      <c r="E147" s="1375" t="s">
        <v>817</v>
      </c>
      <c r="F147" s="1419" t="s">
        <v>818</v>
      </c>
      <c r="G147" s="1412">
        <v>4</v>
      </c>
      <c r="H147" s="1368"/>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45" customHeight="1">
      <c r="B148" s="1384" t="s">
        <v>879</v>
      </c>
      <c r="C148" s="1385">
        <v>1</v>
      </c>
      <c r="D148" s="1386">
        <v>2</v>
      </c>
      <c r="E148" s="1387">
        <v>2</v>
      </c>
      <c r="F148" s="1420"/>
      <c r="G148" s="1413"/>
      <c r="H148" s="1413"/>
      <c r="I148" s="1414"/>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4" t="s">
        <v>880</v>
      </c>
      <c r="C149" s="1395">
        <v>2</v>
      </c>
      <c r="D149" s="1396">
        <v>2</v>
      </c>
      <c r="E149" s="1397">
        <v>4</v>
      </c>
      <c r="F149" s="1420"/>
      <c r="G149" s="1415"/>
      <c r="H149" s="1415"/>
      <c r="I149" s="1416"/>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45" customHeight="1" thickBot="1">
      <c r="B150" s="1400" t="s">
        <v>881</v>
      </c>
      <c r="C150" s="1401">
        <v>3</v>
      </c>
      <c r="D150" s="1402">
        <v>2</v>
      </c>
      <c r="E150" s="1403">
        <v>6</v>
      </c>
      <c r="F150" s="1421"/>
      <c r="G150" s="1417"/>
      <c r="H150" s="1417"/>
      <c r="I150" s="1418"/>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10"/>
      <c r="C151" s="1411"/>
      <c r="D151" s="1411"/>
      <c r="E151" s="1411"/>
      <c r="F151" s="1431"/>
      <c r="G151" s="1368"/>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324">
        <v>15</v>
      </c>
      <c r="B152" s="1364" t="s">
        <v>882</v>
      </c>
      <c r="C152" s="1365"/>
      <c r="D152" s="1365"/>
      <c r="E152" s="1365"/>
      <c r="F152" s="1431"/>
      <c r="G152" s="1368"/>
      <c r="H152" s="1368"/>
      <c r="I152" s="1249"/>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9" t="s">
        <v>883</v>
      </c>
      <c r="C153" s="1370"/>
      <c r="D153" s="1370"/>
      <c r="E153" s="1371"/>
      <c r="F153" s="1431"/>
      <c r="G153" s="1368"/>
      <c r="H153" s="1368"/>
      <c r="I153" s="1249"/>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4" t="s">
        <v>813</v>
      </c>
      <c r="C154" s="1372"/>
      <c r="F154" s="1431"/>
      <c r="G154" s="1368"/>
      <c r="H154" s="1368"/>
      <c r="I154" s="1249"/>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3" t="s">
        <v>814</v>
      </c>
      <c r="C155" s="1374" t="s">
        <v>815</v>
      </c>
      <c r="D155" s="1374" t="s">
        <v>816</v>
      </c>
      <c r="E155" s="1375" t="s">
        <v>817</v>
      </c>
      <c r="F155" s="1419" t="s">
        <v>818</v>
      </c>
      <c r="G155" s="1412">
        <v>4</v>
      </c>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099999999999994" customHeight="1">
      <c r="B156" s="1384" t="s">
        <v>884</v>
      </c>
      <c r="C156" s="1385">
        <v>1</v>
      </c>
      <c r="D156" s="1386">
        <v>2</v>
      </c>
      <c r="E156" s="1387">
        <v>2</v>
      </c>
      <c r="F156" s="1420"/>
      <c r="G156" s="1413"/>
      <c r="H156" s="1413"/>
      <c r="I156" s="1414"/>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4" t="s">
        <v>885</v>
      </c>
      <c r="C157" s="1395">
        <v>2</v>
      </c>
      <c r="D157" s="1396">
        <v>2</v>
      </c>
      <c r="E157" s="1397">
        <v>4</v>
      </c>
      <c r="F157" s="1420"/>
      <c r="G157" s="1415"/>
      <c r="H157" s="1415"/>
      <c r="I157" s="1416"/>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45" customHeight="1" thickBot="1">
      <c r="B158" s="1400" t="s">
        <v>886</v>
      </c>
      <c r="C158" s="1401">
        <v>3</v>
      </c>
      <c r="D158" s="1402">
        <v>2</v>
      </c>
      <c r="E158" s="1403">
        <v>6</v>
      </c>
      <c r="F158" s="1421"/>
      <c r="G158" s="1417"/>
      <c r="H158" s="1417"/>
      <c r="I158" s="1418"/>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10"/>
      <c r="C159" s="1411"/>
      <c r="D159" s="1411"/>
      <c r="E159" s="1411"/>
      <c r="F159" s="1431"/>
      <c r="G159" s="1368"/>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324">
        <v>16</v>
      </c>
      <c r="B160" s="1364" t="s">
        <v>887</v>
      </c>
      <c r="C160" s="1365"/>
      <c r="D160" s="1365"/>
      <c r="E160" s="1365"/>
      <c r="F160" s="1431"/>
      <c r="G160" s="1368"/>
      <c r="H160" s="1368"/>
      <c r="I160" s="1249"/>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9" t="s">
        <v>888</v>
      </c>
      <c r="C161" s="1370"/>
      <c r="D161" s="1370"/>
      <c r="E161" s="1371"/>
      <c r="F161" s="1431"/>
      <c r="G161" s="1368"/>
      <c r="H161" s="1368"/>
      <c r="I161" s="1249"/>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4" t="s">
        <v>813</v>
      </c>
      <c r="C162" s="1372"/>
      <c r="F162" s="1431"/>
      <c r="G162" s="1368"/>
      <c r="H162" s="1368"/>
      <c r="I162" s="1249"/>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3" t="s">
        <v>814</v>
      </c>
      <c r="C163" s="1374" t="s">
        <v>815</v>
      </c>
      <c r="D163" s="1374" t="s">
        <v>816</v>
      </c>
      <c r="E163" s="1375" t="s">
        <v>817</v>
      </c>
      <c r="F163" s="1419" t="s">
        <v>818</v>
      </c>
      <c r="G163" s="1412">
        <v>2</v>
      </c>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7.95" customHeight="1">
      <c r="B164" s="1384" t="s">
        <v>889</v>
      </c>
      <c r="C164" s="1385">
        <v>1</v>
      </c>
      <c r="D164" s="1386">
        <v>2</v>
      </c>
      <c r="E164" s="1387">
        <v>2</v>
      </c>
      <c r="F164" s="1420"/>
      <c r="G164" s="1413"/>
      <c r="H164" s="1413"/>
      <c r="I164" s="1414"/>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4" t="s">
        <v>890</v>
      </c>
      <c r="C165" s="1395">
        <v>2</v>
      </c>
      <c r="D165" s="1396">
        <v>2</v>
      </c>
      <c r="E165" s="1397">
        <v>4</v>
      </c>
      <c r="F165" s="1420"/>
      <c r="G165" s="1415"/>
      <c r="H165" s="1415"/>
      <c r="I165" s="1416"/>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 customHeight="1" thickBot="1">
      <c r="B166" s="1400" t="s">
        <v>891</v>
      </c>
      <c r="C166" s="1401">
        <v>3</v>
      </c>
      <c r="D166" s="1402">
        <v>2</v>
      </c>
      <c r="E166" s="1403">
        <v>6</v>
      </c>
      <c r="F166" s="1421"/>
      <c r="G166" s="1417"/>
      <c r="H166" s="1417"/>
      <c r="I166" s="1418"/>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10"/>
      <c r="C167" s="1411"/>
      <c r="D167" s="1411"/>
      <c r="E167" s="1411"/>
      <c r="F167" s="1431"/>
      <c r="G167" s="1368"/>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1"/>
      <c r="I168" s="1249"/>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5"/>
      <c r="D169" s="1445"/>
      <c r="E169" s="1445"/>
      <c r="F169" s="1431"/>
      <c r="G169" s="1202"/>
      <c r="I169" s="1249"/>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1"/>
      <c r="I170" s="1201"/>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6" customFormat="1" ht="23.25" customHeight="1" thickBot="1">
      <c r="A171" s="1349"/>
      <c r="B171" s="1350"/>
      <c r="C171" s="1351"/>
      <c r="D171" s="1351"/>
      <c r="E171" s="1352"/>
      <c r="F171" s="1353" t="s">
        <v>807</v>
      </c>
      <c r="G171" s="1354"/>
      <c r="H171" s="1353" t="s">
        <v>808</v>
      </c>
      <c r="I171" s="1355"/>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7" t="s">
        <v>892</v>
      </c>
      <c r="C172" s="1358" t="s">
        <v>893</v>
      </c>
      <c r="D172" s="1358"/>
      <c r="E172" s="1359"/>
      <c r="F172" s="1360">
        <v>0</v>
      </c>
      <c r="G172" s="1361"/>
      <c r="H172" s="1362">
        <v>25</v>
      </c>
      <c r="I172" s="1363">
        <f>SUM(G177,G185,G193,G201,G211,G220)</f>
        <v>16</v>
      </c>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4"/>
      <c r="C173" s="1365"/>
      <c r="D173" s="1365"/>
      <c r="E173" s="1365"/>
      <c r="F173" s="1431"/>
      <c r="G173" s="1367"/>
      <c r="H173" s="1367"/>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324">
        <v>17</v>
      </c>
      <c r="B174" s="1364" t="s">
        <v>894</v>
      </c>
      <c r="C174" s="1365"/>
      <c r="D174" s="1365"/>
      <c r="E174" s="1365"/>
      <c r="F174" s="1431"/>
      <c r="G174" s="1368"/>
      <c r="H174" s="1368"/>
      <c r="I174" s="1249"/>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9" t="s">
        <v>895</v>
      </c>
      <c r="C175" s="1370"/>
      <c r="D175" s="1370"/>
      <c r="E175" s="1371"/>
      <c r="F175" s="1431"/>
      <c r="G175" s="1368"/>
      <c r="H175" s="1368"/>
      <c r="I175" s="1249"/>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4" t="s">
        <v>813</v>
      </c>
      <c r="C176" s="1372"/>
      <c r="F176" s="1431"/>
      <c r="G176" s="1368"/>
      <c r="H176" s="1368"/>
      <c r="I176" s="1249"/>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3" t="s">
        <v>814</v>
      </c>
      <c r="C177" s="1374" t="s">
        <v>815</v>
      </c>
      <c r="D177" s="1374" t="s">
        <v>816</v>
      </c>
      <c r="E177" s="1375" t="s">
        <v>817</v>
      </c>
      <c r="F177" s="1419" t="s">
        <v>818</v>
      </c>
      <c r="G177" s="1412">
        <v>2</v>
      </c>
      <c r="H177" s="1368"/>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4" t="s">
        <v>820</v>
      </c>
      <c r="C178" s="1385">
        <v>0</v>
      </c>
      <c r="D178" s="1386">
        <v>2</v>
      </c>
      <c r="E178" s="1387">
        <v>0</v>
      </c>
      <c r="F178" s="1420"/>
      <c r="G178" s="1413"/>
      <c r="H178" s="1413"/>
      <c r="I178" s="1414"/>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4" t="s">
        <v>822</v>
      </c>
      <c r="C179" s="1395">
        <v>1</v>
      </c>
      <c r="D179" s="1396">
        <v>2</v>
      </c>
      <c r="E179" s="1397">
        <v>2</v>
      </c>
      <c r="F179" s="1420"/>
      <c r="G179" s="1415"/>
      <c r="H179" s="1415"/>
      <c r="I179" s="1416"/>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400" t="s">
        <v>824</v>
      </c>
      <c r="C180" s="1401">
        <v>2</v>
      </c>
      <c r="D180" s="1402">
        <v>2</v>
      </c>
      <c r="E180" s="1403">
        <v>4</v>
      </c>
      <c r="F180" s="1421"/>
      <c r="G180" s="1417"/>
      <c r="H180" s="1417"/>
      <c r="I180" s="1418"/>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10"/>
      <c r="C181" s="1411"/>
      <c r="D181" s="1411"/>
      <c r="E181" s="1411"/>
      <c r="F181" s="1431"/>
      <c r="G181" s="1368"/>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324">
        <v>18</v>
      </c>
      <c r="B182" s="1364" t="s">
        <v>896</v>
      </c>
      <c r="C182" s="1365"/>
      <c r="D182" s="1365"/>
      <c r="E182" s="1365"/>
      <c r="F182" s="1431"/>
      <c r="G182" s="1368"/>
      <c r="H182" s="1368"/>
      <c r="I182" s="1249"/>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9" t="s">
        <v>897</v>
      </c>
      <c r="C183" s="1370"/>
      <c r="D183" s="1370"/>
      <c r="E183" s="1371"/>
      <c r="F183" s="1431"/>
      <c r="G183" s="1368"/>
      <c r="H183" s="1368"/>
      <c r="I183" s="1249"/>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4" t="s">
        <v>813</v>
      </c>
      <c r="C184" s="1372"/>
      <c r="F184" s="1431"/>
      <c r="G184" s="1368"/>
      <c r="H184" s="1368"/>
      <c r="I184" s="1249"/>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3" t="s">
        <v>814</v>
      </c>
      <c r="C185" s="1374" t="s">
        <v>815</v>
      </c>
      <c r="D185" s="1374" t="s">
        <v>816</v>
      </c>
      <c r="E185" s="1375" t="s">
        <v>817</v>
      </c>
      <c r="F185" s="1419" t="s">
        <v>818</v>
      </c>
      <c r="G185" s="1412">
        <v>3</v>
      </c>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4" t="s">
        <v>820</v>
      </c>
      <c r="C186" s="1385">
        <v>0</v>
      </c>
      <c r="D186" s="1386">
        <v>3</v>
      </c>
      <c r="E186" s="1387">
        <v>0</v>
      </c>
      <c r="F186" s="1420"/>
      <c r="G186" s="1413"/>
      <c r="H186" s="1413"/>
      <c r="I186" s="1414"/>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4" t="s">
        <v>822</v>
      </c>
      <c r="C187" s="1395">
        <v>1</v>
      </c>
      <c r="D187" s="1396">
        <v>3</v>
      </c>
      <c r="E187" s="1397">
        <v>3</v>
      </c>
      <c r="F187" s="1420"/>
      <c r="G187" s="1415"/>
      <c r="H187" s="1415"/>
      <c r="I187" s="1416"/>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400" t="s">
        <v>824</v>
      </c>
      <c r="C188" s="1401">
        <v>2</v>
      </c>
      <c r="D188" s="1402">
        <v>3</v>
      </c>
      <c r="E188" s="1403">
        <v>6</v>
      </c>
      <c r="F188" s="1421"/>
      <c r="G188" s="1417"/>
      <c r="H188" s="1417"/>
      <c r="I188" s="1418"/>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10"/>
      <c r="C189" s="1411"/>
      <c r="D189" s="1411"/>
      <c r="E189" s="1411"/>
      <c r="F189" s="1431"/>
      <c r="G189" s="1368"/>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324">
        <v>19</v>
      </c>
      <c r="B190" s="1364" t="s">
        <v>898</v>
      </c>
      <c r="C190" s="1365"/>
      <c r="D190" s="1365"/>
      <c r="E190" s="1365"/>
      <c r="F190" s="1431"/>
      <c r="G190" s="1368"/>
      <c r="H190" s="1368"/>
      <c r="I190" s="1249"/>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9" t="s">
        <v>899</v>
      </c>
      <c r="C191" s="1370"/>
      <c r="D191" s="1370"/>
      <c r="E191" s="1371"/>
      <c r="F191" s="1431"/>
      <c r="G191" s="1368"/>
      <c r="H191" s="1368"/>
      <c r="I191" s="1249"/>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4" t="s">
        <v>813</v>
      </c>
      <c r="C192" s="1372"/>
      <c r="F192" s="1431"/>
      <c r="G192" s="1368"/>
      <c r="H192" s="1368"/>
      <c r="I192" s="1249"/>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3" t="s">
        <v>814</v>
      </c>
      <c r="C193" s="1374" t="s">
        <v>815</v>
      </c>
      <c r="D193" s="1374" t="s">
        <v>816</v>
      </c>
      <c r="E193" s="1375" t="s">
        <v>817</v>
      </c>
      <c r="F193" s="1419" t="s">
        <v>818</v>
      </c>
      <c r="G193" s="1412">
        <v>2</v>
      </c>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4" t="s">
        <v>900</v>
      </c>
      <c r="C194" s="1385">
        <v>0</v>
      </c>
      <c r="D194" s="1386">
        <v>2</v>
      </c>
      <c r="E194" s="1387">
        <v>0</v>
      </c>
      <c r="F194" s="1420"/>
      <c r="G194" s="1413"/>
      <c r="H194" s="1413"/>
      <c r="I194" s="1414"/>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 customHeight="1">
      <c r="B195" s="1394" t="s">
        <v>901</v>
      </c>
      <c r="C195" s="1395">
        <v>1</v>
      </c>
      <c r="D195" s="1396">
        <v>2</v>
      </c>
      <c r="E195" s="1397">
        <v>2</v>
      </c>
      <c r="F195" s="1420"/>
      <c r="G195" s="1415"/>
      <c r="H195" s="1415"/>
      <c r="I195" s="1416"/>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400" t="s">
        <v>902</v>
      </c>
      <c r="C196" s="1401">
        <v>2</v>
      </c>
      <c r="D196" s="1402">
        <v>2</v>
      </c>
      <c r="E196" s="1403">
        <v>4</v>
      </c>
      <c r="F196" s="1421"/>
      <c r="G196" s="1417"/>
      <c r="H196" s="1417"/>
      <c r="I196" s="1418"/>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10"/>
      <c r="C197" s="1411"/>
      <c r="D197" s="1411"/>
      <c r="E197" s="1411"/>
      <c r="F197" s="1431"/>
      <c r="G197" s="1368"/>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324">
        <v>20</v>
      </c>
      <c r="B198" s="1364" t="s">
        <v>903</v>
      </c>
      <c r="C198" s="1365"/>
      <c r="D198" s="1365"/>
      <c r="E198" s="1365"/>
      <c r="F198" s="1431"/>
      <c r="G198" s="1368"/>
      <c r="H198" s="1368"/>
      <c r="I198" s="1249"/>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9" t="s">
        <v>904</v>
      </c>
      <c r="C199" s="1370"/>
      <c r="D199" s="1370"/>
      <c r="E199" s="1371"/>
      <c r="F199" s="1431"/>
      <c r="G199" s="1368"/>
      <c r="H199" s="1368"/>
      <c r="I199" s="1249"/>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4" t="s">
        <v>813</v>
      </c>
      <c r="C200" s="1372"/>
      <c r="F200" s="1431"/>
      <c r="G200" s="1368"/>
      <c r="H200" s="1368"/>
      <c r="I200" s="1249"/>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3" t="s">
        <v>814</v>
      </c>
      <c r="C201" s="1374" t="s">
        <v>815</v>
      </c>
      <c r="D201" s="1374" t="s">
        <v>816</v>
      </c>
      <c r="E201" s="1375" t="s">
        <v>817</v>
      </c>
      <c r="F201" s="1419" t="s">
        <v>818</v>
      </c>
      <c r="G201" s="1377">
        <v>2</v>
      </c>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4" t="s">
        <v>905</v>
      </c>
      <c r="C202" s="1385">
        <v>0</v>
      </c>
      <c r="D202" s="1386">
        <v>1</v>
      </c>
      <c r="E202" s="1387">
        <v>0</v>
      </c>
      <c r="F202" s="1420"/>
      <c r="G202" s="1413"/>
      <c r="H202" s="1413"/>
      <c r="I202" s="1414"/>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4" t="s">
        <v>906</v>
      </c>
      <c r="C203" s="1395">
        <v>1</v>
      </c>
      <c r="D203" s="1396">
        <v>1</v>
      </c>
      <c r="E203" s="1397">
        <v>1</v>
      </c>
      <c r="F203" s="1420"/>
      <c r="G203" s="1415"/>
      <c r="H203" s="1415"/>
      <c r="I203" s="1416"/>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4" t="s">
        <v>907</v>
      </c>
      <c r="C204" s="1395">
        <v>2</v>
      </c>
      <c r="D204" s="1396">
        <v>1</v>
      </c>
      <c r="E204" s="1397">
        <v>2</v>
      </c>
      <c r="F204" s="1420"/>
      <c r="G204" s="1415"/>
      <c r="H204" s="1415"/>
      <c r="I204" s="1416"/>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4" t="s">
        <v>908</v>
      </c>
      <c r="C205" s="1395">
        <v>3</v>
      </c>
      <c r="D205" s="1396">
        <v>1</v>
      </c>
      <c r="E205" s="1397">
        <v>3</v>
      </c>
      <c r="F205" s="1420"/>
      <c r="G205" s="1415"/>
      <c r="H205" s="1415"/>
      <c r="I205" s="1416"/>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400" t="s">
        <v>909</v>
      </c>
      <c r="C206" s="1401">
        <v>4</v>
      </c>
      <c r="D206" s="1402">
        <v>1</v>
      </c>
      <c r="E206" s="1403">
        <v>4</v>
      </c>
      <c r="F206" s="1421"/>
      <c r="G206" s="1417"/>
      <c r="H206" s="1417"/>
      <c r="I206" s="1418"/>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6"/>
      <c r="C207" s="1446"/>
      <c r="D207" s="1446"/>
      <c r="E207" s="1446"/>
      <c r="F207" s="1431"/>
      <c r="G207" s="1368"/>
      <c r="H207" s="1368"/>
      <c r="I207" s="1249"/>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324">
        <v>21</v>
      </c>
      <c r="B208" s="1364" t="s">
        <v>910</v>
      </c>
      <c r="C208" s="1365"/>
      <c r="D208" s="1365"/>
      <c r="E208" s="1365"/>
      <c r="F208" s="1431"/>
      <c r="G208" s="1368"/>
      <c r="H208" s="1368"/>
      <c r="I208" s="1249"/>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9" t="s">
        <v>911</v>
      </c>
      <c r="C209" s="1370"/>
      <c r="D209" s="1370"/>
      <c r="E209" s="1371"/>
      <c r="F209" s="1431"/>
      <c r="G209" s="1368"/>
      <c r="H209" s="1368"/>
      <c r="I209" s="1249"/>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4" t="s">
        <v>813</v>
      </c>
      <c r="C210" s="1372"/>
      <c r="F210" s="1431"/>
      <c r="G210" s="1368"/>
      <c r="H210" s="1368"/>
      <c r="I210" s="1249"/>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3" t="s">
        <v>814</v>
      </c>
      <c r="C211" s="1374" t="s">
        <v>815</v>
      </c>
      <c r="D211" s="1374" t="s">
        <v>816</v>
      </c>
      <c r="E211" s="1375" t="s">
        <v>817</v>
      </c>
      <c r="F211" s="1419" t="s">
        <v>818</v>
      </c>
      <c r="G211" s="1377">
        <v>3</v>
      </c>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7.95" customHeight="1">
      <c r="B212" s="1384" t="s">
        <v>912</v>
      </c>
      <c r="C212" s="1385">
        <v>0</v>
      </c>
      <c r="D212" s="1386">
        <v>1</v>
      </c>
      <c r="E212" s="1387">
        <v>0</v>
      </c>
      <c r="F212" s="1420"/>
      <c r="G212" s="1413"/>
      <c r="H212" s="1413"/>
      <c r="I212" s="1414"/>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4" t="s">
        <v>913</v>
      </c>
      <c r="C213" s="1395">
        <v>1</v>
      </c>
      <c r="D213" s="1396">
        <v>1</v>
      </c>
      <c r="E213" s="1397">
        <v>1</v>
      </c>
      <c r="F213" s="1420"/>
      <c r="G213" s="1415"/>
      <c r="H213" s="1415"/>
      <c r="I213" s="1416"/>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 customHeight="1">
      <c r="B214" s="1394" t="s">
        <v>914</v>
      </c>
      <c r="C214" s="1395">
        <v>2</v>
      </c>
      <c r="D214" s="1396">
        <v>1</v>
      </c>
      <c r="E214" s="1397">
        <v>2</v>
      </c>
      <c r="F214" s="1420"/>
      <c r="G214" s="1415"/>
      <c r="H214" s="1415"/>
      <c r="I214" s="1416"/>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 customHeight="1" thickBot="1">
      <c r="B215" s="1400" t="s">
        <v>915</v>
      </c>
      <c r="C215" s="1401">
        <v>3</v>
      </c>
      <c r="D215" s="1402">
        <v>1</v>
      </c>
      <c r="E215" s="1403">
        <v>3</v>
      </c>
      <c r="F215" s="1421"/>
      <c r="G215" s="1417"/>
      <c r="H215" s="1417"/>
      <c r="I215" s="1418"/>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4"/>
      <c r="C216" s="1204"/>
      <c r="D216" s="1204"/>
      <c r="E216" s="1204"/>
      <c r="F216" s="1431"/>
      <c r="G216" s="1368"/>
      <c r="H216" s="1368"/>
      <c r="I216" s="1249"/>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324">
        <v>22</v>
      </c>
      <c r="B217" s="1364" t="s">
        <v>916</v>
      </c>
      <c r="C217" s="1365"/>
      <c r="D217" s="1365"/>
      <c r="E217" s="1365"/>
      <c r="F217" s="1431"/>
      <c r="G217" s="1368"/>
      <c r="H217" s="1368"/>
      <c r="I217" s="1249"/>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9" t="s">
        <v>917</v>
      </c>
      <c r="C218" s="1370"/>
      <c r="D218" s="1370"/>
      <c r="E218" s="1371"/>
      <c r="F218" s="1431"/>
      <c r="G218" s="1368"/>
      <c r="H218" s="1368"/>
      <c r="I218" s="1249"/>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4" t="s">
        <v>918</v>
      </c>
      <c r="C219" s="1372"/>
      <c r="F219" s="1431"/>
      <c r="G219" s="1368"/>
      <c r="H219" s="1368"/>
      <c r="I219" s="1249"/>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3" t="s">
        <v>814</v>
      </c>
      <c r="C220" s="1374" t="s">
        <v>815</v>
      </c>
      <c r="D220" s="1374" t="s">
        <v>816</v>
      </c>
      <c r="E220" s="1375" t="s">
        <v>817</v>
      </c>
      <c r="F220" s="1419" t="s">
        <v>818</v>
      </c>
      <c r="G220" s="1412">
        <v>4</v>
      </c>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 customHeight="1">
      <c r="B221" s="1384" t="s">
        <v>820</v>
      </c>
      <c r="C221" s="1385">
        <v>0</v>
      </c>
      <c r="D221" s="1386">
        <v>2</v>
      </c>
      <c r="E221" s="1387">
        <v>0</v>
      </c>
      <c r="F221" s="1420"/>
      <c r="G221" s="1413"/>
      <c r="H221" s="1413"/>
      <c r="I221" s="1414"/>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 customHeight="1">
      <c r="B222" s="1394" t="s">
        <v>822</v>
      </c>
      <c r="C222" s="1395">
        <v>1</v>
      </c>
      <c r="D222" s="1396">
        <v>2</v>
      </c>
      <c r="E222" s="1397">
        <v>2</v>
      </c>
      <c r="F222" s="1420"/>
      <c r="G222" s="1415"/>
      <c r="H222" s="1415"/>
      <c r="I222" s="1416"/>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 customHeight="1" thickBot="1">
      <c r="B223" s="1400" t="s">
        <v>824</v>
      </c>
      <c r="C223" s="1401">
        <v>2</v>
      </c>
      <c r="D223" s="1402">
        <v>2</v>
      </c>
      <c r="E223" s="1403">
        <v>4</v>
      </c>
      <c r="F223" s="1421"/>
      <c r="G223" s="1417"/>
      <c r="H223" s="1417"/>
      <c r="I223" s="1418"/>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10"/>
      <c r="C224" s="1411"/>
      <c r="D224" s="1411"/>
      <c r="E224" s="1411"/>
      <c r="F224" s="1431"/>
      <c r="G224" s="1368"/>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1"/>
      <c r="I225" s="1249"/>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1"/>
      <c r="I226" s="1201"/>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6" customFormat="1" ht="23.25" customHeight="1" thickBot="1">
      <c r="A227" s="1349"/>
      <c r="B227" s="1350"/>
      <c r="C227" s="1351"/>
      <c r="D227" s="1351"/>
      <c r="E227" s="1352"/>
      <c r="F227" s="1353" t="s">
        <v>807</v>
      </c>
      <c r="G227" s="1354"/>
      <c r="H227" s="1353" t="s">
        <v>808</v>
      </c>
      <c r="I227" s="1355"/>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8.95" customHeight="1" thickBot="1">
      <c r="B228" s="1357" t="s">
        <v>919</v>
      </c>
      <c r="C228" s="1358" t="s">
        <v>920</v>
      </c>
      <c r="D228" s="1358"/>
      <c r="E228" s="1359"/>
      <c r="F228" s="1360">
        <v>1</v>
      </c>
      <c r="G228" s="1361"/>
      <c r="H228" s="1362">
        <v>4</v>
      </c>
      <c r="I228" s="1363">
        <f>SUM(G233)</f>
        <v>4</v>
      </c>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4"/>
      <c r="C229" s="1365"/>
      <c r="D229" s="1365"/>
      <c r="E229" s="1365"/>
      <c r="F229" s="1431"/>
      <c r="G229" s="1367"/>
      <c r="H229" s="1367"/>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324">
        <v>23</v>
      </c>
      <c r="B230" s="1364" t="s">
        <v>921</v>
      </c>
      <c r="C230" s="1365"/>
      <c r="D230" s="1365"/>
      <c r="E230" s="1365"/>
      <c r="F230" s="1431"/>
      <c r="G230" s="1368"/>
      <c r="H230" s="1368"/>
      <c r="I230" s="1249"/>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9" t="s">
        <v>922</v>
      </c>
      <c r="C231" s="1370"/>
      <c r="D231" s="1370"/>
      <c r="E231" s="1371"/>
      <c r="F231" s="1431"/>
      <c r="G231" s="1368"/>
      <c r="H231" s="1368"/>
      <c r="I231" s="1249"/>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4" t="s">
        <v>813</v>
      </c>
      <c r="C232" s="1372"/>
      <c r="F232" s="1431"/>
      <c r="G232" s="1368"/>
      <c r="H232" s="1368"/>
      <c r="I232" s="1249"/>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3" t="s">
        <v>814</v>
      </c>
      <c r="C233" s="1374" t="s">
        <v>815</v>
      </c>
      <c r="D233" s="1374" t="s">
        <v>816</v>
      </c>
      <c r="E233" s="1375" t="s">
        <v>817</v>
      </c>
      <c r="F233" s="1419" t="s">
        <v>818</v>
      </c>
      <c r="G233" s="1412">
        <v>4</v>
      </c>
      <c r="H233" s="1368"/>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4" t="s">
        <v>820</v>
      </c>
      <c r="C234" s="1385">
        <v>1</v>
      </c>
      <c r="D234" s="1386">
        <v>1</v>
      </c>
      <c r="E234" s="1387">
        <v>1</v>
      </c>
      <c r="F234" s="1420"/>
      <c r="G234" s="1413"/>
      <c r="H234" s="1413"/>
      <c r="I234" s="1414"/>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4" t="s">
        <v>822</v>
      </c>
      <c r="C235" s="1395">
        <v>2</v>
      </c>
      <c r="D235" s="1396">
        <v>1</v>
      </c>
      <c r="E235" s="1397">
        <v>2</v>
      </c>
      <c r="F235" s="1420"/>
      <c r="G235" s="1415"/>
      <c r="H235" s="1415"/>
      <c r="I235" s="1416"/>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400" t="s">
        <v>824</v>
      </c>
      <c r="C236" s="1401">
        <v>4</v>
      </c>
      <c r="D236" s="1402">
        <v>1</v>
      </c>
      <c r="E236" s="1403">
        <v>4</v>
      </c>
      <c r="F236" s="1421"/>
      <c r="G236" s="1417"/>
      <c r="H236" s="1417"/>
      <c r="I236" s="1418"/>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10"/>
      <c r="C237" s="1411"/>
      <c r="D237" s="1411"/>
      <c r="E237" s="1411"/>
      <c r="F237" s="1447"/>
      <c r="G237" s="1368"/>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7"/>
      <c r="I238" s="1201"/>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6" customFormat="1" ht="23.25" customHeight="1" thickBot="1">
      <c r="A239" s="1349"/>
      <c r="B239" s="1350"/>
      <c r="C239" s="1351"/>
      <c r="D239" s="1351"/>
      <c r="E239" s="1352"/>
      <c r="F239" s="1353" t="s">
        <v>807</v>
      </c>
      <c r="G239" s="1354"/>
      <c r="H239" s="1353" t="s">
        <v>808</v>
      </c>
      <c r="I239" s="1355"/>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 customHeight="1" thickBot="1">
      <c r="B240" s="1357" t="s">
        <v>923</v>
      </c>
      <c r="C240" s="1358" t="s">
        <v>846</v>
      </c>
      <c r="D240" s="1358"/>
      <c r="E240" s="1359"/>
      <c r="F240" s="1360">
        <v>7</v>
      </c>
      <c r="G240" s="1361"/>
      <c r="H240" s="1362">
        <v>39</v>
      </c>
      <c r="I240" s="1363">
        <f>SUM(G245,G253,G261,G268,G276,G286,G294)</f>
        <v>20</v>
      </c>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4"/>
      <c r="C241" s="1365"/>
      <c r="D241" s="1365"/>
      <c r="E241" s="1365"/>
      <c r="F241" s="1447"/>
      <c r="G241" s="1367"/>
      <c r="H241" s="1367"/>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324">
        <v>24</v>
      </c>
      <c r="B242" s="1364" t="s">
        <v>924</v>
      </c>
      <c r="C242" s="1365"/>
      <c r="D242" s="1365"/>
      <c r="E242" s="1365"/>
      <c r="F242" s="1447"/>
      <c r="G242" s="1368"/>
      <c r="H242" s="1368"/>
      <c r="I242" s="1249"/>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9" t="s">
        <v>925</v>
      </c>
      <c r="C243" s="1370"/>
      <c r="D243" s="1370"/>
      <c r="E243" s="1371"/>
      <c r="F243" s="1447"/>
      <c r="G243" s="1368"/>
      <c r="H243" s="1368"/>
      <c r="I243" s="1249"/>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4" t="s">
        <v>844</v>
      </c>
      <c r="C244" s="1372"/>
      <c r="F244" s="1447"/>
      <c r="G244" s="1368"/>
      <c r="H244" s="1368"/>
      <c r="I244" s="1249"/>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3" t="s">
        <v>814</v>
      </c>
      <c r="C245" s="1374" t="s">
        <v>815</v>
      </c>
      <c r="D245" s="1374" t="s">
        <v>816</v>
      </c>
      <c r="E245" s="1375" t="s">
        <v>817</v>
      </c>
      <c r="F245" s="1419" t="s">
        <v>818</v>
      </c>
      <c r="G245" s="1412">
        <v>6</v>
      </c>
      <c r="H245" s="1368"/>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 customHeight="1">
      <c r="B246" s="1384" t="s">
        <v>926</v>
      </c>
      <c r="C246" s="1385">
        <v>1</v>
      </c>
      <c r="D246" s="1386">
        <v>3</v>
      </c>
      <c r="E246" s="1387">
        <v>3</v>
      </c>
      <c r="F246" s="1420"/>
      <c r="G246" s="1413"/>
      <c r="H246" s="1413"/>
      <c r="I246" s="1414"/>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45" customHeight="1">
      <c r="B247" s="1394" t="s">
        <v>927</v>
      </c>
      <c r="C247" s="1395">
        <v>2</v>
      </c>
      <c r="D247" s="1396">
        <v>3</v>
      </c>
      <c r="E247" s="1397">
        <v>6</v>
      </c>
      <c r="F247" s="1420"/>
      <c r="G247" s="1415"/>
      <c r="H247" s="1415"/>
      <c r="I247" s="1416"/>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 customHeight="1" thickBot="1">
      <c r="B248" s="1400" t="s">
        <v>928</v>
      </c>
      <c r="C248" s="1401">
        <v>3</v>
      </c>
      <c r="D248" s="1402">
        <v>3</v>
      </c>
      <c r="E248" s="1403">
        <v>9</v>
      </c>
      <c r="F248" s="1421"/>
      <c r="G248" s="1417"/>
      <c r="H248" s="1417"/>
      <c r="I248" s="1418"/>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10"/>
      <c r="C249" s="1411"/>
      <c r="D249" s="1411"/>
      <c r="E249" s="1411"/>
      <c r="F249" s="1430"/>
      <c r="G249" s="1368"/>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324">
        <v>25</v>
      </c>
      <c r="B250" s="1364" t="s">
        <v>929</v>
      </c>
      <c r="C250" s="1365"/>
      <c r="D250" s="1365"/>
      <c r="E250" s="1365"/>
      <c r="F250" s="1447"/>
      <c r="G250" s="1368"/>
      <c r="H250" s="1368"/>
      <c r="I250" s="1249"/>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9" t="s">
        <v>930</v>
      </c>
      <c r="C251" s="1370"/>
      <c r="D251" s="1370"/>
      <c r="E251" s="1371"/>
      <c r="F251" s="1447"/>
      <c r="G251" s="1368"/>
      <c r="H251" s="1368"/>
      <c r="I251" s="1249"/>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4" t="s">
        <v>844</v>
      </c>
      <c r="C252" s="1372"/>
      <c r="F252" s="1447"/>
      <c r="G252" s="1368"/>
      <c r="H252" s="1368"/>
      <c r="I252" s="1249"/>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3" t="s">
        <v>814</v>
      </c>
      <c r="C253" s="1374" t="s">
        <v>815</v>
      </c>
      <c r="D253" s="1374" t="s">
        <v>816</v>
      </c>
      <c r="E253" s="1375" t="s">
        <v>817</v>
      </c>
      <c r="F253" s="1419" t="s">
        <v>818</v>
      </c>
      <c r="G253" s="1412">
        <v>2</v>
      </c>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45" customHeight="1">
      <c r="B254" s="1384" t="s">
        <v>931</v>
      </c>
      <c r="C254" s="1385">
        <v>0</v>
      </c>
      <c r="D254" s="1386">
        <v>2</v>
      </c>
      <c r="E254" s="1387">
        <v>0</v>
      </c>
      <c r="F254" s="1420"/>
      <c r="G254" s="1413"/>
      <c r="H254" s="1413"/>
      <c r="I254" s="1414"/>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 customHeight="1">
      <c r="B255" s="1394" t="s">
        <v>932</v>
      </c>
      <c r="C255" s="1395">
        <v>1</v>
      </c>
      <c r="D255" s="1396">
        <v>2</v>
      </c>
      <c r="E255" s="1397">
        <v>2</v>
      </c>
      <c r="F255" s="1420"/>
      <c r="G255" s="1415"/>
      <c r="H255" s="1415"/>
      <c r="I255" s="1416"/>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 customHeight="1" thickBot="1">
      <c r="B256" s="1400" t="s">
        <v>933</v>
      </c>
      <c r="C256" s="1401">
        <v>2</v>
      </c>
      <c r="D256" s="1402">
        <v>2</v>
      </c>
      <c r="E256" s="1403">
        <v>4</v>
      </c>
      <c r="F256" s="1421"/>
      <c r="G256" s="1417"/>
      <c r="H256" s="1417"/>
      <c r="I256" s="1418"/>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10"/>
      <c r="C257" s="1411"/>
      <c r="D257" s="1411"/>
      <c r="E257" s="1411"/>
      <c r="F257" s="1447"/>
      <c r="G257" s="1368"/>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324">
        <v>26</v>
      </c>
      <c r="B258" s="1364" t="s">
        <v>934</v>
      </c>
      <c r="C258" s="1365"/>
      <c r="D258" s="1365"/>
      <c r="E258" s="1365"/>
      <c r="F258" s="1447"/>
      <c r="G258" s="1368"/>
      <c r="H258" s="1368"/>
      <c r="I258" s="1249"/>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9" t="s">
        <v>935</v>
      </c>
      <c r="C259" s="1370"/>
      <c r="D259" s="1370"/>
      <c r="E259" s="1371"/>
      <c r="F259" s="1447"/>
      <c r="G259" s="1368"/>
      <c r="H259" s="1368"/>
      <c r="I259" s="1249"/>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4" t="s">
        <v>844</v>
      </c>
      <c r="C260" s="1372"/>
      <c r="F260" s="1447"/>
      <c r="G260" s="1368"/>
      <c r="H260" s="1368"/>
      <c r="I260" s="1249"/>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3" t="s">
        <v>814</v>
      </c>
      <c r="C261" s="1374" t="s">
        <v>815</v>
      </c>
      <c r="D261" s="1374" t="s">
        <v>816</v>
      </c>
      <c r="E261" s="1375" t="s">
        <v>817</v>
      </c>
      <c r="F261" s="1419" t="s">
        <v>818</v>
      </c>
      <c r="G261" s="1412">
        <v>0</v>
      </c>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 customHeight="1">
      <c r="B262" s="1448" t="s">
        <v>936</v>
      </c>
      <c r="C262" s="1449">
        <v>0</v>
      </c>
      <c r="D262" s="1450">
        <v>3</v>
      </c>
      <c r="E262" s="1451">
        <v>0</v>
      </c>
      <c r="F262" s="1420"/>
      <c r="G262" s="1413"/>
      <c r="H262" s="1413"/>
      <c r="I262" s="1414"/>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7.95" customHeight="1" thickBot="1">
      <c r="B263" s="1400" t="s">
        <v>937</v>
      </c>
      <c r="C263" s="1401">
        <v>2</v>
      </c>
      <c r="D263" s="1402">
        <v>3</v>
      </c>
      <c r="E263" s="1403">
        <v>6</v>
      </c>
      <c r="F263" s="1421"/>
      <c r="G263" s="1417"/>
      <c r="H263" s="1417"/>
      <c r="I263" s="1418"/>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10"/>
      <c r="C264" s="1411"/>
      <c r="D264" s="1411"/>
      <c r="E264" s="1411"/>
      <c r="F264" s="1430"/>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324">
        <v>27</v>
      </c>
      <c r="B265" s="1364" t="s">
        <v>938</v>
      </c>
      <c r="C265" s="1365"/>
      <c r="D265" s="1365"/>
      <c r="E265" s="1365"/>
      <c r="F265" s="1447"/>
      <c r="G265" s="1368"/>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9" t="s">
        <v>939</v>
      </c>
      <c r="C266" s="1370"/>
      <c r="D266" s="1370"/>
      <c r="E266" s="1371"/>
      <c r="F266" s="1447"/>
      <c r="G266" s="1368"/>
      <c r="H266" s="1368"/>
      <c r="I266" s="1249"/>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4" t="s">
        <v>844</v>
      </c>
      <c r="C267" s="1372"/>
      <c r="F267" s="1447"/>
      <c r="G267" s="1368"/>
      <c r="H267" s="1368"/>
      <c r="I267" s="1249"/>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3" t="s">
        <v>814</v>
      </c>
      <c r="C268" s="1374" t="s">
        <v>815</v>
      </c>
      <c r="D268" s="1374" t="s">
        <v>816</v>
      </c>
      <c r="E268" s="1375" t="s">
        <v>817</v>
      </c>
      <c r="F268" s="1419" t="s">
        <v>818</v>
      </c>
      <c r="G268" s="1412">
        <v>4</v>
      </c>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4" t="s">
        <v>940</v>
      </c>
      <c r="C269" s="1385">
        <v>1</v>
      </c>
      <c r="D269" s="1386">
        <v>2</v>
      </c>
      <c r="E269" s="1387">
        <v>2</v>
      </c>
      <c r="F269" s="1420"/>
      <c r="G269" s="1413"/>
      <c r="H269" s="1413"/>
      <c r="I269" s="1414"/>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4" t="s">
        <v>941</v>
      </c>
      <c r="C270" s="1395">
        <v>2</v>
      </c>
      <c r="D270" s="1396">
        <v>2</v>
      </c>
      <c r="E270" s="1397">
        <v>4</v>
      </c>
      <c r="F270" s="1420"/>
      <c r="G270" s="1415"/>
      <c r="H270" s="1415"/>
      <c r="I270" s="1416"/>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400" t="s">
        <v>942</v>
      </c>
      <c r="C271" s="1401">
        <v>3</v>
      </c>
      <c r="D271" s="1402">
        <v>2</v>
      </c>
      <c r="E271" s="1403">
        <v>6</v>
      </c>
      <c r="F271" s="1421"/>
      <c r="G271" s="1417"/>
      <c r="H271" s="1417"/>
      <c r="I271" s="1418"/>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10"/>
      <c r="C272" s="1411"/>
      <c r="D272" s="1411"/>
      <c r="E272" s="1411"/>
      <c r="F272" s="1447"/>
      <c r="G272" s="1368"/>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324">
        <v>28</v>
      </c>
      <c r="B273" s="1364" t="s">
        <v>943</v>
      </c>
      <c r="C273" s="1365"/>
      <c r="D273" s="1365"/>
      <c r="E273" s="1365"/>
      <c r="F273" s="1447"/>
      <c r="G273" s="1368"/>
      <c r="H273" s="1368"/>
      <c r="I273" s="1249"/>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9" t="s">
        <v>944</v>
      </c>
      <c r="C274" s="1370"/>
      <c r="D274" s="1370"/>
      <c r="E274" s="1371"/>
      <c r="F274" s="1447"/>
      <c r="G274" s="1368"/>
      <c r="H274" s="1368"/>
      <c r="I274" s="1249"/>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4" t="s">
        <v>813</v>
      </c>
      <c r="C275" s="1372"/>
      <c r="F275" s="1447"/>
      <c r="G275" s="1368"/>
      <c r="H275" s="1368"/>
      <c r="I275" s="1249"/>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3" t="s">
        <v>814</v>
      </c>
      <c r="C276" s="1374" t="s">
        <v>815</v>
      </c>
      <c r="D276" s="1374" t="s">
        <v>816</v>
      </c>
      <c r="E276" s="1375" t="s">
        <v>817</v>
      </c>
      <c r="F276" s="1419" t="s">
        <v>818</v>
      </c>
      <c r="G276" s="1377">
        <v>2</v>
      </c>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4" t="s">
        <v>945</v>
      </c>
      <c r="C277" s="1385">
        <v>0</v>
      </c>
      <c r="D277" s="1386">
        <v>1</v>
      </c>
      <c r="E277" s="1387">
        <f>D277*C277</f>
        <v>0</v>
      </c>
      <c r="F277" s="1420"/>
      <c r="G277" s="1413"/>
      <c r="H277" s="1413"/>
      <c r="I277" s="1414"/>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4" t="s">
        <v>946</v>
      </c>
      <c r="C278" s="1395">
        <v>1</v>
      </c>
      <c r="D278" s="1396">
        <v>1</v>
      </c>
      <c r="E278" s="1397">
        <f>D278*C278</f>
        <v>1</v>
      </c>
      <c r="F278" s="1420"/>
      <c r="G278" s="1415"/>
      <c r="H278" s="1415"/>
      <c r="I278" s="1416"/>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4" t="s">
        <v>947</v>
      </c>
      <c r="C279" s="1395">
        <v>2</v>
      </c>
      <c r="D279" s="1396">
        <v>1</v>
      </c>
      <c r="E279" s="1397">
        <f>D279*C279</f>
        <v>2</v>
      </c>
      <c r="F279" s="1420"/>
      <c r="G279" s="1415"/>
      <c r="H279" s="1415"/>
      <c r="I279" s="1416"/>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4" t="s">
        <v>948</v>
      </c>
      <c r="C280" s="1395">
        <v>3</v>
      </c>
      <c r="D280" s="1396">
        <v>1</v>
      </c>
      <c r="E280" s="1397">
        <f>D280*C280</f>
        <v>3</v>
      </c>
      <c r="F280" s="1420"/>
      <c r="G280" s="1415"/>
      <c r="H280" s="1415"/>
      <c r="I280" s="1416"/>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400" t="s">
        <v>949</v>
      </c>
      <c r="C281" s="1401">
        <v>4</v>
      </c>
      <c r="D281" s="1402">
        <v>1</v>
      </c>
      <c r="E281" s="1403">
        <f>D281*C281</f>
        <v>4</v>
      </c>
      <c r="F281" s="1421"/>
      <c r="G281" s="1417"/>
      <c r="H281" s="1417"/>
      <c r="I281" s="1418"/>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6"/>
      <c r="C282" s="1446"/>
      <c r="D282" s="1446"/>
      <c r="E282" s="1446"/>
      <c r="F282" s="1447"/>
      <c r="G282" s="1368"/>
      <c r="H282" s="1368"/>
      <c r="I282" s="1249"/>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324">
        <v>29</v>
      </c>
      <c r="B283" s="1364" t="s">
        <v>950</v>
      </c>
      <c r="C283" s="1365"/>
      <c r="D283" s="1365"/>
      <c r="E283" s="1365"/>
      <c r="F283" s="1447"/>
      <c r="G283" s="1368"/>
      <c r="H283" s="1368"/>
      <c r="I283" s="1249"/>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9" t="s">
        <v>951</v>
      </c>
      <c r="C284" s="1370"/>
      <c r="D284" s="1370"/>
      <c r="E284" s="1371"/>
      <c r="F284" s="1447"/>
      <c r="G284" s="1368"/>
      <c r="H284" s="1368"/>
      <c r="I284" s="1249"/>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4" t="s">
        <v>813</v>
      </c>
      <c r="C285" s="1372"/>
      <c r="F285" s="1447"/>
      <c r="G285" s="1368"/>
      <c r="H285" s="1368"/>
      <c r="I285" s="1249"/>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3" t="s">
        <v>814</v>
      </c>
      <c r="C286" s="1374" t="s">
        <v>815</v>
      </c>
      <c r="D286" s="1374" t="s">
        <v>816</v>
      </c>
      <c r="E286" s="1375" t="s">
        <v>817</v>
      </c>
      <c r="F286" s="1419" t="s">
        <v>818</v>
      </c>
      <c r="G286" s="1412">
        <v>2</v>
      </c>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 customHeight="1">
      <c r="B287" s="1384" t="s">
        <v>952</v>
      </c>
      <c r="C287" s="1385">
        <v>0</v>
      </c>
      <c r="D287" s="1386">
        <v>2</v>
      </c>
      <c r="E287" s="1387">
        <v>0</v>
      </c>
      <c r="F287" s="1420"/>
      <c r="G287" s="1413"/>
      <c r="H287" s="1413"/>
      <c r="I287" s="1414"/>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4" t="s">
        <v>953</v>
      </c>
      <c r="C288" s="1395">
        <v>1</v>
      </c>
      <c r="D288" s="1396">
        <v>2</v>
      </c>
      <c r="E288" s="1397">
        <v>2</v>
      </c>
      <c r="F288" s="1420"/>
      <c r="G288" s="1415"/>
      <c r="H288" s="1415"/>
      <c r="I288" s="1416"/>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45" customHeight="1" thickBot="1">
      <c r="B289" s="1400" t="s">
        <v>954</v>
      </c>
      <c r="C289" s="1401">
        <v>2</v>
      </c>
      <c r="D289" s="1402">
        <v>2</v>
      </c>
      <c r="E289" s="1403">
        <v>4</v>
      </c>
      <c r="F289" s="1421"/>
      <c r="G289" s="1417"/>
      <c r="H289" s="1417"/>
      <c r="I289" s="1418"/>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10"/>
      <c r="C290" s="1411"/>
      <c r="D290" s="1411"/>
      <c r="E290" s="1411"/>
      <c r="F290" s="1447"/>
      <c r="G290" s="1368"/>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324">
        <v>30</v>
      </c>
      <c r="B291" s="1364" t="s">
        <v>955</v>
      </c>
      <c r="C291" s="1365"/>
      <c r="D291" s="1365"/>
      <c r="E291" s="1365"/>
      <c r="F291" s="1447"/>
      <c r="G291" s="1368"/>
      <c r="H291" s="1368"/>
      <c r="I291" s="1249"/>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9" t="s">
        <v>956</v>
      </c>
      <c r="C292" s="1370"/>
      <c r="D292" s="1370"/>
      <c r="E292" s="1371"/>
      <c r="F292" s="1447"/>
      <c r="G292" s="1368"/>
      <c r="H292" s="1368"/>
      <c r="I292" s="1249"/>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4" t="s">
        <v>813</v>
      </c>
      <c r="C293" s="1372"/>
      <c r="F293" s="1447"/>
      <c r="G293" s="1368"/>
      <c r="H293" s="1368"/>
      <c r="I293" s="1249"/>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3" t="s">
        <v>814</v>
      </c>
      <c r="C294" s="1374" t="s">
        <v>815</v>
      </c>
      <c r="D294" s="1374" t="s">
        <v>816</v>
      </c>
      <c r="E294" s="1375" t="s">
        <v>817</v>
      </c>
      <c r="F294" s="1419" t="s">
        <v>818</v>
      </c>
      <c r="G294" s="1412">
        <v>4</v>
      </c>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4" t="s">
        <v>957</v>
      </c>
      <c r="C295" s="1385">
        <v>1</v>
      </c>
      <c r="D295" s="1386">
        <v>2</v>
      </c>
      <c r="E295" s="1387">
        <v>2</v>
      </c>
      <c r="F295" s="1420"/>
      <c r="G295" s="1413"/>
      <c r="H295" s="1413"/>
      <c r="I295" s="1414"/>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4" t="s">
        <v>958</v>
      </c>
      <c r="C296" s="1395">
        <v>2</v>
      </c>
      <c r="D296" s="1396">
        <v>2</v>
      </c>
      <c r="E296" s="1397">
        <v>4</v>
      </c>
      <c r="F296" s="1420"/>
      <c r="G296" s="1415"/>
      <c r="H296" s="1415"/>
      <c r="I296" s="1416"/>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400" t="s">
        <v>959</v>
      </c>
      <c r="C297" s="1401">
        <v>3</v>
      </c>
      <c r="D297" s="1402">
        <v>2</v>
      </c>
      <c r="E297" s="1403">
        <v>6</v>
      </c>
      <c r="F297" s="1421"/>
      <c r="G297" s="1417"/>
      <c r="H297" s="1417"/>
      <c r="I297" s="1418"/>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10"/>
      <c r="C298" s="1411"/>
      <c r="D298" s="1411"/>
      <c r="E298" s="1411"/>
      <c r="F298" s="1447"/>
      <c r="G298" s="1368"/>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7"/>
      <c r="G299" s="1202"/>
      <c r="I299" s="1249"/>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7"/>
      <c r="I300" s="1201"/>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6" customFormat="1" ht="23.25" customHeight="1" thickBot="1">
      <c r="A301" s="1349"/>
      <c r="B301" s="1350"/>
      <c r="C301" s="1351"/>
      <c r="D301" s="1351"/>
      <c r="E301" s="1352"/>
      <c r="F301" s="1353" t="s">
        <v>807</v>
      </c>
      <c r="G301" s="1354"/>
      <c r="H301" s="1353" t="s">
        <v>808</v>
      </c>
      <c r="I301" s="1355"/>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2.95" customHeight="1" thickBot="1">
      <c r="B302" s="1357" t="s">
        <v>960</v>
      </c>
      <c r="C302" s="1358" t="s">
        <v>810</v>
      </c>
      <c r="D302" s="1358"/>
      <c r="E302" s="1359"/>
      <c r="F302" s="1360">
        <v>1</v>
      </c>
      <c r="G302" s="1361"/>
      <c r="H302" s="1362">
        <v>10</v>
      </c>
      <c r="I302" s="1363">
        <f>SUM(G307,G315)</f>
        <v>5</v>
      </c>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4"/>
      <c r="C303" s="1365"/>
      <c r="D303" s="1365"/>
      <c r="E303" s="1365"/>
      <c r="F303" s="1447"/>
      <c r="G303" s="1367"/>
      <c r="H303" s="1367"/>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324">
        <v>31</v>
      </c>
      <c r="B304" s="1364" t="s">
        <v>961</v>
      </c>
      <c r="C304" s="1365"/>
      <c r="D304" s="1365"/>
      <c r="E304" s="1365"/>
      <c r="F304" s="1447"/>
      <c r="G304" s="1368"/>
      <c r="H304" s="1368"/>
      <c r="I304" s="1249"/>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9" t="s">
        <v>962</v>
      </c>
      <c r="C305" s="1370"/>
      <c r="D305" s="1370"/>
      <c r="E305" s="1371"/>
      <c r="F305" s="1447"/>
      <c r="G305" s="1368"/>
      <c r="H305" s="1368"/>
      <c r="I305" s="1249"/>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4" t="s">
        <v>813</v>
      </c>
      <c r="C306" s="1372"/>
      <c r="F306" s="1447"/>
      <c r="G306" s="1368"/>
      <c r="H306" s="1368"/>
      <c r="I306" s="1249"/>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3" t="s">
        <v>814</v>
      </c>
      <c r="C307" s="1374" t="s">
        <v>815</v>
      </c>
      <c r="D307" s="1374" t="s">
        <v>816</v>
      </c>
      <c r="E307" s="1375" t="s">
        <v>817</v>
      </c>
      <c r="F307" s="1419" t="s">
        <v>818</v>
      </c>
      <c r="G307" s="1412">
        <v>2</v>
      </c>
      <c r="H307" s="1368"/>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4" t="s">
        <v>820</v>
      </c>
      <c r="C308" s="1385">
        <v>1</v>
      </c>
      <c r="D308" s="1386">
        <v>1</v>
      </c>
      <c r="E308" s="1387">
        <v>1</v>
      </c>
      <c r="F308" s="1420"/>
      <c r="G308" s="1413"/>
      <c r="H308" s="1413"/>
      <c r="I308" s="1414"/>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4" t="s">
        <v>822</v>
      </c>
      <c r="C309" s="1395">
        <v>2</v>
      </c>
      <c r="D309" s="1396">
        <v>1</v>
      </c>
      <c r="E309" s="1397">
        <v>2</v>
      </c>
      <c r="F309" s="1420"/>
      <c r="G309" s="1415"/>
      <c r="H309" s="1415"/>
      <c r="I309" s="1416"/>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400" t="s">
        <v>824</v>
      </c>
      <c r="C310" s="1401">
        <v>4</v>
      </c>
      <c r="D310" s="1402">
        <v>1</v>
      </c>
      <c r="E310" s="1403">
        <v>4</v>
      </c>
      <c r="F310" s="1421"/>
      <c r="G310" s="1417"/>
      <c r="H310" s="1417"/>
      <c r="I310" s="1418"/>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10"/>
      <c r="C311" s="1411"/>
      <c r="D311" s="1411"/>
      <c r="E311" s="1411"/>
      <c r="F311" s="1447"/>
      <c r="G311" s="1368"/>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324">
        <v>32</v>
      </c>
      <c r="B312" s="1364" t="s">
        <v>963</v>
      </c>
      <c r="C312" s="1365"/>
      <c r="D312" s="1365"/>
      <c r="E312" s="1365"/>
      <c r="F312" s="1447"/>
      <c r="G312" s="1368"/>
      <c r="H312" s="1368"/>
      <c r="I312" s="1249"/>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9" t="s">
        <v>964</v>
      </c>
      <c r="C313" s="1370"/>
      <c r="D313" s="1370"/>
      <c r="E313" s="1371"/>
      <c r="F313" s="1447"/>
      <c r="G313" s="1368"/>
      <c r="H313" s="1368"/>
      <c r="I313" s="1249"/>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4" t="s">
        <v>813</v>
      </c>
      <c r="C314" s="1372"/>
      <c r="F314" s="1447"/>
      <c r="G314" s="1368"/>
      <c r="H314" s="1368"/>
      <c r="I314" s="1249"/>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3" t="s">
        <v>814</v>
      </c>
      <c r="C315" s="1374" t="s">
        <v>815</v>
      </c>
      <c r="D315" s="1374" t="s">
        <v>816</v>
      </c>
      <c r="E315" s="1375" t="s">
        <v>817</v>
      </c>
      <c r="F315" s="1419" t="s">
        <v>818</v>
      </c>
      <c r="G315" s="1412">
        <v>3</v>
      </c>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4" t="s">
        <v>820</v>
      </c>
      <c r="C316" s="1385">
        <v>0</v>
      </c>
      <c r="D316" s="1386">
        <v>3</v>
      </c>
      <c r="E316" s="1387">
        <v>0</v>
      </c>
      <c r="F316" s="1420"/>
      <c r="G316" s="1413"/>
      <c r="H316" s="1413"/>
      <c r="I316" s="1414"/>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4" t="s">
        <v>822</v>
      </c>
      <c r="C317" s="1395">
        <v>1</v>
      </c>
      <c r="D317" s="1396">
        <v>3</v>
      </c>
      <c r="E317" s="1397">
        <v>3</v>
      </c>
      <c r="F317" s="1420"/>
      <c r="G317" s="1415"/>
      <c r="H317" s="1415"/>
      <c r="I317" s="1416"/>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400" t="s">
        <v>824</v>
      </c>
      <c r="C318" s="1401">
        <v>2</v>
      </c>
      <c r="D318" s="1402">
        <v>3</v>
      </c>
      <c r="E318" s="1403">
        <v>6</v>
      </c>
      <c r="F318" s="1421"/>
      <c r="G318" s="1417"/>
      <c r="H318" s="1417"/>
      <c r="I318" s="1418"/>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10"/>
      <c r="C319" s="1411"/>
      <c r="D319" s="1411"/>
      <c r="E319" s="1411"/>
      <c r="F319" s="1447"/>
      <c r="G319" s="1368"/>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7"/>
      <c r="G320" s="1368"/>
      <c r="I320" s="1249"/>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7"/>
      <c r="I321" s="1201"/>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6" customFormat="1" ht="23.25" customHeight="1" thickBot="1">
      <c r="A322" s="1349"/>
      <c r="B322" s="1350"/>
      <c r="C322" s="1351"/>
      <c r="D322" s="1351"/>
      <c r="E322" s="1352"/>
      <c r="F322" s="1353" t="s">
        <v>807</v>
      </c>
      <c r="G322" s="1354"/>
      <c r="H322" s="1353" t="s">
        <v>808</v>
      </c>
      <c r="I322" s="1355"/>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45" customHeight="1" thickBot="1">
      <c r="B323" s="1357" t="s">
        <v>965</v>
      </c>
      <c r="C323" s="1358" t="s">
        <v>810</v>
      </c>
      <c r="D323" s="1358"/>
      <c r="E323" s="1359"/>
      <c r="F323" s="1360">
        <v>4</v>
      </c>
      <c r="G323" s="1361"/>
      <c r="H323" s="1362">
        <v>12</v>
      </c>
      <c r="I323" s="1363">
        <f>SUM(G328,G336)</f>
        <v>8</v>
      </c>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4"/>
      <c r="C324" s="1365"/>
      <c r="D324" s="1365"/>
      <c r="E324" s="1365"/>
      <c r="F324" s="1447"/>
      <c r="G324" s="1367"/>
      <c r="H324" s="1367"/>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324">
        <v>33</v>
      </c>
      <c r="B325" s="1364" t="s">
        <v>966</v>
      </c>
      <c r="C325" s="1365"/>
      <c r="D325" s="1365"/>
      <c r="E325" s="1365"/>
      <c r="F325" s="1447"/>
      <c r="G325" s="1368"/>
      <c r="H325" s="1368"/>
      <c r="I325" s="1249"/>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9" t="s">
        <v>967</v>
      </c>
      <c r="C326" s="1370"/>
      <c r="D326" s="1370"/>
      <c r="E326" s="1371"/>
      <c r="F326" s="1447"/>
      <c r="G326" s="1368"/>
      <c r="H326" s="1368"/>
      <c r="I326" s="1249"/>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4" t="s">
        <v>813</v>
      </c>
      <c r="C327" s="1372"/>
      <c r="F327" s="1447"/>
      <c r="G327" s="1368"/>
      <c r="H327" s="1368"/>
      <c r="I327" s="1249"/>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3" t="s">
        <v>814</v>
      </c>
      <c r="C328" s="1374" t="s">
        <v>815</v>
      </c>
      <c r="D328" s="1374" t="s">
        <v>816</v>
      </c>
      <c r="E328" s="1375" t="s">
        <v>817</v>
      </c>
      <c r="F328" s="1419" t="s">
        <v>818</v>
      </c>
      <c r="G328" s="1412">
        <v>4</v>
      </c>
      <c r="H328" s="1368"/>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4" t="s">
        <v>968</v>
      </c>
      <c r="C329" s="1385">
        <v>1</v>
      </c>
      <c r="D329" s="1386">
        <v>2</v>
      </c>
      <c r="E329" s="1387">
        <v>2</v>
      </c>
      <c r="F329" s="1420"/>
      <c r="G329" s="1413"/>
      <c r="H329" s="1413"/>
      <c r="I329" s="1414"/>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 customHeight="1">
      <c r="B330" s="1394" t="s">
        <v>969</v>
      </c>
      <c r="C330" s="1395">
        <v>2</v>
      </c>
      <c r="D330" s="1396">
        <v>2</v>
      </c>
      <c r="E330" s="1397">
        <v>4</v>
      </c>
      <c r="F330" s="1420"/>
      <c r="G330" s="1415"/>
      <c r="H330" s="1415"/>
      <c r="I330" s="1416"/>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45" customHeight="1" thickBot="1">
      <c r="B331" s="1400" t="s">
        <v>970</v>
      </c>
      <c r="C331" s="1401">
        <v>3</v>
      </c>
      <c r="D331" s="1402">
        <v>2</v>
      </c>
      <c r="E331" s="1403">
        <v>6</v>
      </c>
      <c r="F331" s="1421"/>
      <c r="G331" s="1417"/>
      <c r="H331" s="1417"/>
      <c r="I331" s="1418"/>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10"/>
      <c r="C332" s="1411"/>
      <c r="D332" s="1411"/>
      <c r="E332" s="1411"/>
      <c r="F332" s="1447"/>
      <c r="G332" s="1368"/>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324">
        <v>34</v>
      </c>
      <c r="B333" s="1364" t="s">
        <v>971</v>
      </c>
      <c r="C333" s="1365"/>
      <c r="D333" s="1365"/>
      <c r="E333" s="1365"/>
      <c r="F333" s="1447"/>
      <c r="G333" s="1368"/>
      <c r="H333" s="1368"/>
      <c r="I333" s="1249"/>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9" t="s">
        <v>972</v>
      </c>
      <c r="C334" s="1370"/>
      <c r="D334" s="1370"/>
      <c r="E334" s="1371"/>
      <c r="F334" s="1447"/>
      <c r="G334" s="1368"/>
      <c r="H334" s="1368"/>
      <c r="I334" s="1249"/>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4" t="s">
        <v>813</v>
      </c>
      <c r="C335" s="1372"/>
      <c r="F335" s="1447"/>
      <c r="G335" s="1368"/>
      <c r="H335" s="1368"/>
      <c r="I335" s="1249"/>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3" t="s">
        <v>814</v>
      </c>
      <c r="C336" s="1374" t="s">
        <v>815</v>
      </c>
      <c r="D336" s="1374" t="s">
        <v>816</v>
      </c>
      <c r="E336" s="1375" t="s">
        <v>817</v>
      </c>
      <c r="F336" s="1419" t="s">
        <v>818</v>
      </c>
      <c r="G336" s="1412">
        <v>4</v>
      </c>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4" t="s">
        <v>957</v>
      </c>
      <c r="C337" s="1385">
        <v>1</v>
      </c>
      <c r="D337" s="1386">
        <v>2</v>
      </c>
      <c r="E337" s="1387">
        <v>2</v>
      </c>
      <c r="F337" s="1420"/>
      <c r="G337" s="1413"/>
      <c r="H337" s="1413"/>
      <c r="I337" s="1414"/>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4" t="s">
        <v>958</v>
      </c>
      <c r="C338" s="1395">
        <v>2</v>
      </c>
      <c r="D338" s="1396">
        <v>2</v>
      </c>
      <c r="E338" s="1397">
        <v>4</v>
      </c>
      <c r="F338" s="1420"/>
      <c r="G338" s="1415"/>
      <c r="H338" s="1415"/>
      <c r="I338" s="1416"/>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400" t="s">
        <v>959</v>
      </c>
      <c r="C339" s="1401">
        <v>3</v>
      </c>
      <c r="D339" s="1402">
        <v>2</v>
      </c>
      <c r="E339" s="1403">
        <v>6</v>
      </c>
      <c r="F339" s="1421"/>
      <c r="G339" s="1417"/>
      <c r="H339" s="1417"/>
      <c r="I339" s="1418"/>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10"/>
      <c r="C340" s="1411"/>
      <c r="D340" s="1411"/>
      <c r="E340" s="1411"/>
      <c r="F340" s="1447"/>
      <c r="G340" s="1368"/>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7"/>
      <c r="G341" s="1368"/>
      <c r="I341" s="1249"/>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7"/>
      <c r="I342" s="1201"/>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6" customFormat="1" ht="23.25" customHeight="1" thickBot="1">
      <c r="A343" s="1349"/>
      <c r="B343" s="1350"/>
      <c r="C343" s="1351"/>
      <c r="D343" s="1351"/>
      <c r="E343" s="1352"/>
      <c r="F343" s="1353" t="s">
        <v>807</v>
      </c>
      <c r="G343" s="1354"/>
      <c r="H343" s="1353" t="s">
        <v>808</v>
      </c>
      <c r="I343" s="1422" t="str">
        <f>IF(OR(G357="KO",G366="KO",G374="KO"),"KO","Nincs KO")</f>
        <v>Nincs KO</v>
      </c>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 customHeight="1" thickBot="1">
      <c r="B344" s="1357" t="s">
        <v>973</v>
      </c>
      <c r="C344" s="1358" t="s">
        <v>974</v>
      </c>
      <c r="D344" s="1358"/>
      <c r="E344" s="1359"/>
      <c r="F344" s="1360">
        <f>+E350+E359+E368+E376+E382</f>
        <v>8</v>
      </c>
      <c r="G344" s="1361"/>
      <c r="H344" s="1362">
        <v>27</v>
      </c>
      <c r="I344" s="1363">
        <f>SUM(G349,G357,G366,G374,G381)</f>
        <v>18</v>
      </c>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4" t="s">
        <v>975</v>
      </c>
      <c r="C345" s="1365"/>
      <c r="D345" s="1365"/>
      <c r="E345" s="1365"/>
      <c r="F345" s="1447"/>
      <c r="G345" s="1367"/>
      <c r="H345" s="1367"/>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324">
        <v>35</v>
      </c>
      <c r="B346" s="1364" t="s">
        <v>976</v>
      </c>
      <c r="C346" s="1365"/>
      <c r="D346" s="1365"/>
      <c r="E346" s="1365"/>
      <c r="F346" s="1447"/>
      <c r="G346" s="1368"/>
      <c r="H346" s="1368"/>
      <c r="I346" s="1249"/>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9" t="s">
        <v>977</v>
      </c>
      <c r="C347" s="1370"/>
      <c r="D347" s="1370"/>
      <c r="E347" s="1371"/>
      <c r="F347" s="1447"/>
      <c r="G347" s="1368"/>
      <c r="H347" s="1368"/>
      <c r="I347" s="1249"/>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4" t="s">
        <v>813</v>
      </c>
      <c r="C348" s="1372"/>
      <c r="F348" s="1447"/>
      <c r="G348" s="1368"/>
      <c r="H348" s="1368"/>
      <c r="I348" s="1249"/>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3" t="s">
        <v>814</v>
      </c>
      <c r="C349" s="1374" t="s">
        <v>815</v>
      </c>
      <c r="D349" s="1374" t="s">
        <v>816</v>
      </c>
      <c r="E349" s="1375" t="s">
        <v>817</v>
      </c>
      <c r="F349" s="1419" t="s">
        <v>818</v>
      </c>
      <c r="G349" s="1412">
        <v>3</v>
      </c>
      <c r="H349" s="1368"/>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4" t="s">
        <v>820</v>
      </c>
      <c r="C350" s="1385">
        <v>0</v>
      </c>
      <c r="D350" s="1386">
        <v>3</v>
      </c>
      <c r="E350" s="1387">
        <v>0</v>
      </c>
      <c r="F350" s="1420"/>
      <c r="G350" s="1413"/>
      <c r="H350" s="1413"/>
      <c r="I350" s="1414"/>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4" t="s">
        <v>978</v>
      </c>
      <c r="C351" s="1395">
        <v>1</v>
      </c>
      <c r="D351" s="1396">
        <v>3</v>
      </c>
      <c r="E351" s="1397">
        <v>3</v>
      </c>
      <c r="F351" s="1420"/>
      <c r="G351" s="1415"/>
      <c r="H351" s="1415"/>
      <c r="I351" s="1416"/>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400" t="s">
        <v>979</v>
      </c>
      <c r="C352" s="1401">
        <v>2</v>
      </c>
      <c r="D352" s="1402">
        <v>3</v>
      </c>
      <c r="E352" s="1403">
        <v>6</v>
      </c>
      <c r="F352" s="1421"/>
      <c r="G352" s="1417"/>
      <c r="H352" s="1417"/>
      <c r="I352" s="1418"/>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10"/>
      <c r="C353" s="1411"/>
      <c r="D353" s="1411"/>
      <c r="E353" s="1411"/>
      <c r="F353" s="1447"/>
      <c r="G353" s="1368"/>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324">
        <v>36</v>
      </c>
      <c r="B354" s="1364" t="s">
        <v>980</v>
      </c>
      <c r="C354" s="1365"/>
      <c r="D354" s="1365"/>
      <c r="E354" s="1365"/>
      <c r="F354" s="1447"/>
      <c r="G354" s="1368"/>
      <c r="H354" s="1368"/>
      <c r="I354" s="1249"/>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9" t="s">
        <v>981</v>
      </c>
      <c r="C355" s="1370"/>
      <c r="D355" s="1370"/>
      <c r="E355" s="1371"/>
      <c r="F355" s="1447"/>
      <c r="G355" s="1368"/>
      <c r="H355" s="1368"/>
      <c r="I355" s="1249"/>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4" t="s">
        <v>813</v>
      </c>
      <c r="C356" s="1372"/>
      <c r="F356" s="1447"/>
      <c r="G356" s="1368"/>
      <c r="H356" s="1368"/>
      <c r="I356" s="1249"/>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3" t="s">
        <v>814</v>
      </c>
      <c r="C357" s="1424" t="s">
        <v>815</v>
      </c>
      <c r="D357" s="1424" t="s">
        <v>816</v>
      </c>
      <c r="E357" s="1425" t="s">
        <v>817</v>
      </c>
      <c r="F357" s="1419" t="s">
        <v>818</v>
      </c>
      <c r="G357" s="1377">
        <v>3</v>
      </c>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2" t="s">
        <v>982</v>
      </c>
      <c r="C358" s="1453" t="s">
        <v>850</v>
      </c>
      <c r="D358" s="1454"/>
      <c r="E358" s="1455" t="s">
        <v>795</v>
      </c>
      <c r="F358" s="1420"/>
      <c r="G358" s="1413"/>
      <c r="H358" s="1413"/>
      <c r="I358" s="1414"/>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6" t="s">
        <v>983</v>
      </c>
      <c r="C359" s="1457">
        <v>0</v>
      </c>
      <c r="D359" s="1438">
        <v>3</v>
      </c>
      <c r="E359" s="1458">
        <v>0</v>
      </c>
      <c r="F359" s="1420"/>
      <c r="G359" s="1415"/>
      <c r="H359" s="1415"/>
      <c r="I359" s="1416"/>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6" t="s">
        <v>984</v>
      </c>
      <c r="C360" s="1459">
        <v>1</v>
      </c>
      <c r="D360" s="1442">
        <v>3</v>
      </c>
      <c r="E360" s="1460">
        <v>3</v>
      </c>
      <c r="F360" s="1420"/>
      <c r="G360" s="1415"/>
      <c r="H360" s="1415"/>
      <c r="I360" s="1416"/>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40" t="s">
        <v>985</v>
      </c>
      <c r="C361" s="1457">
        <v>2</v>
      </c>
      <c r="D361" s="1444">
        <v>3</v>
      </c>
      <c r="E361" s="1458">
        <v>6</v>
      </c>
      <c r="F361" s="1421"/>
      <c r="G361" s="1417"/>
      <c r="H361" s="1417"/>
      <c r="I361" s="1418"/>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4"/>
      <c r="C362" s="1204"/>
      <c r="D362" s="1204"/>
      <c r="E362" s="1204"/>
      <c r="F362" s="1447"/>
      <c r="I362" s="1249"/>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324">
        <v>37</v>
      </c>
      <c r="B363" s="1364" t="s">
        <v>986</v>
      </c>
      <c r="C363" s="1365"/>
      <c r="D363" s="1365"/>
      <c r="E363" s="1365"/>
      <c r="F363" s="1447"/>
      <c r="G363" s="1368"/>
      <c r="H363" s="1368"/>
      <c r="I363" s="1249"/>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9" t="s">
        <v>987</v>
      </c>
      <c r="C364" s="1370"/>
      <c r="D364" s="1370"/>
      <c r="E364" s="1371"/>
      <c r="F364" s="1447"/>
      <c r="G364" s="1368"/>
      <c r="H364" s="1368"/>
      <c r="I364" s="1249"/>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4" t="s">
        <v>813</v>
      </c>
      <c r="C365" s="1372"/>
      <c r="F365" s="1447"/>
      <c r="G365" s="1368"/>
      <c r="H365" s="1368"/>
      <c r="I365" s="1249"/>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1" t="s">
        <v>814</v>
      </c>
      <c r="C366" s="1462" t="s">
        <v>815</v>
      </c>
      <c r="D366" s="1462" t="s">
        <v>816</v>
      </c>
      <c r="E366" s="1463" t="s">
        <v>817</v>
      </c>
      <c r="F366" s="1419" t="s">
        <v>818</v>
      </c>
      <c r="G366" s="1412">
        <v>3</v>
      </c>
      <c r="H366" s="1368"/>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4" t="s">
        <v>988</v>
      </c>
      <c r="C367" s="1465" t="s">
        <v>850</v>
      </c>
      <c r="D367" s="1465"/>
      <c r="E367" s="1466" t="s">
        <v>795</v>
      </c>
      <c r="F367" s="1420"/>
      <c r="G367" s="1413"/>
      <c r="H367" s="1413"/>
      <c r="I367" s="1414"/>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4" t="s">
        <v>989</v>
      </c>
      <c r="C368" s="1467">
        <v>1</v>
      </c>
      <c r="D368" s="1396">
        <v>3</v>
      </c>
      <c r="E368" s="1397">
        <v>3</v>
      </c>
      <c r="F368" s="1420"/>
      <c r="G368" s="1415"/>
      <c r="H368" s="1415"/>
      <c r="I368" s="1416"/>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400" t="s">
        <v>990</v>
      </c>
      <c r="C369" s="1429">
        <v>2</v>
      </c>
      <c r="D369" s="1402">
        <v>3</v>
      </c>
      <c r="E369" s="1403">
        <v>6</v>
      </c>
      <c r="F369" s="1421"/>
      <c r="G369" s="1417"/>
      <c r="H369" s="1417"/>
      <c r="I369" s="1418"/>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10"/>
      <c r="C370" s="1468"/>
      <c r="D370" s="1468"/>
      <c r="E370" s="1468"/>
      <c r="F370" s="1447"/>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324">
        <v>38</v>
      </c>
      <c r="B371" s="1364" t="s">
        <v>991</v>
      </c>
      <c r="C371" s="1365"/>
      <c r="D371" s="1365"/>
      <c r="E371" s="1365"/>
      <c r="F371" s="1447"/>
      <c r="G371" s="1368"/>
      <c r="H371" s="1368"/>
      <c r="I371" s="1249"/>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9" t="s">
        <v>992</v>
      </c>
      <c r="C372" s="1370"/>
      <c r="D372" s="1370"/>
      <c r="E372" s="1371"/>
      <c r="F372" s="1447"/>
      <c r="G372" s="1368"/>
      <c r="H372" s="1368"/>
      <c r="I372" s="1249"/>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4" t="s">
        <v>813</v>
      </c>
      <c r="C373" s="1372"/>
      <c r="F373" s="1447"/>
      <c r="G373" s="1368"/>
      <c r="H373" s="1368"/>
      <c r="I373" s="1249"/>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1" t="s">
        <v>814</v>
      </c>
      <c r="C374" s="1462" t="s">
        <v>815</v>
      </c>
      <c r="D374" s="1462" t="s">
        <v>816</v>
      </c>
      <c r="E374" s="1463" t="s">
        <v>817</v>
      </c>
      <c r="F374" s="1419" t="s">
        <v>818</v>
      </c>
      <c r="G374" s="1412">
        <v>5</v>
      </c>
      <c r="H374" s="1368"/>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8" t="s">
        <v>849</v>
      </c>
      <c r="C375" s="1465" t="s">
        <v>850</v>
      </c>
      <c r="D375" s="1465"/>
      <c r="E375" s="1466" t="s">
        <v>795</v>
      </c>
      <c r="F375" s="1420"/>
      <c r="G375" s="1413"/>
      <c r="H375" s="1413"/>
      <c r="I375" s="1414"/>
    </row>
    <row r="376" spans="1:79" ht="25.5" thickBot="1">
      <c r="B376" s="1400" t="s">
        <v>851</v>
      </c>
      <c r="C376" s="1429">
        <v>5</v>
      </c>
      <c r="D376" s="1402">
        <v>1</v>
      </c>
      <c r="E376" s="1403">
        <v>5</v>
      </c>
      <c r="F376" s="1421"/>
      <c r="G376" s="1417"/>
      <c r="H376" s="1417"/>
      <c r="I376" s="1418"/>
    </row>
    <row r="377" spans="1:79" ht="9" customHeight="1">
      <c r="B377" s="1410"/>
      <c r="C377" s="1430"/>
      <c r="D377" s="1430"/>
      <c r="E377" s="1430"/>
      <c r="F377" s="1430"/>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324">
        <v>39</v>
      </c>
      <c r="B378" s="1364" t="s">
        <v>993</v>
      </c>
      <c r="C378" s="1365"/>
      <c r="D378" s="1365"/>
      <c r="E378" s="1365"/>
      <c r="F378" s="1447"/>
      <c r="G378" s="1368"/>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9" t="s">
        <v>994</v>
      </c>
      <c r="C379" s="1370"/>
      <c r="D379" s="1370"/>
      <c r="E379" s="1371"/>
      <c r="F379" s="1447"/>
      <c r="G379" s="1368"/>
      <c r="H379" s="1368"/>
      <c r="I379" s="1249"/>
      <c r="J379" s="1249"/>
      <c r="K379" s="1249"/>
      <c r="L379" s="1249"/>
      <c r="M379" s="1249"/>
      <c r="N379" s="1342"/>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4" t="s">
        <v>813</v>
      </c>
      <c r="C380" s="1372"/>
      <c r="F380" s="1447"/>
      <c r="G380" s="1368"/>
      <c r="H380" s="1368"/>
      <c r="I380" s="1249"/>
      <c r="J380" s="1249"/>
      <c r="K380" s="1249"/>
      <c r="L380" s="1249"/>
      <c r="M380" s="1249"/>
      <c r="N380" s="1342"/>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9" t="s">
        <v>814</v>
      </c>
      <c r="C381" s="1470" t="s">
        <v>815</v>
      </c>
      <c r="D381" s="1470" t="s">
        <v>816</v>
      </c>
      <c r="E381" s="1471" t="s">
        <v>817</v>
      </c>
      <c r="F381" s="1419" t="s">
        <v>818</v>
      </c>
      <c r="G381" s="1412">
        <v>4</v>
      </c>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4" t="s">
        <v>820</v>
      </c>
      <c r="C382" s="1467">
        <v>0</v>
      </c>
      <c r="D382" s="1396">
        <v>2</v>
      </c>
      <c r="E382" s="1397">
        <v>0</v>
      </c>
      <c r="F382" s="1420"/>
      <c r="G382" s="1472"/>
      <c r="H382" s="1413"/>
      <c r="I382" s="1414"/>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4" t="s">
        <v>822</v>
      </c>
      <c r="C383" s="1467">
        <v>1</v>
      </c>
      <c r="D383" s="1396">
        <v>2</v>
      </c>
      <c r="E383" s="1397">
        <v>2</v>
      </c>
      <c r="F383" s="1420"/>
      <c r="G383" s="1473"/>
      <c r="H383" s="1415"/>
      <c r="I383" s="1416"/>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400" t="s">
        <v>824</v>
      </c>
      <c r="C384" s="1429">
        <v>2</v>
      </c>
      <c r="D384" s="1402">
        <v>2</v>
      </c>
      <c r="E384" s="1403">
        <v>4</v>
      </c>
      <c r="F384" s="1421"/>
      <c r="G384" s="1474"/>
      <c r="H384" s="1417"/>
      <c r="I384" s="1418"/>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10"/>
      <c r="C385" s="1411"/>
      <c r="D385" s="1411"/>
      <c r="E385" s="1411"/>
      <c r="F385" s="1475"/>
      <c r="G385" s="1368"/>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5"/>
      <c r="G386" s="1202"/>
    </row>
    <row r="387" spans="2:79">
      <c r="C387" s="1204"/>
      <c r="D387" s="1204"/>
      <c r="E387" s="1204"/>
      <c r="G387" s="1202"/>
    </row>
    <row r="388" spans="2:79">
      <c r="C388" s="1204"/>
      <c r="D388" s="1204"/>
      <c r="E388" s="1204"/>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7" priority="18">
      <formula>$I$28=0</formula>
    </cfRule>
  </conditionalFormatting>
  <conditionalFormatting sqref="B47">
    <cfRule type="expression" dxfId="16" priority="17">
      <formula>$I$28=0</formula>
    </cfRule>
  </conditionalFormatting>
  <conditionalFormatting sqref="B83">
    <cfRule type="expression" dxfId="15" priority="16">
      <formula>$I$28=0</formula>
    </cfRule>
  </conditionalFormatting>
  <conditionalFormatting sqref="B141">
    <cfRule type="expression" dxfId="14" priority="15">
      <formula>$I$28=0</formula>
    </cfRule>
  </conditionalFormatting>
  <conditionalFormatting sqref="B171">
    <cfRule type="expression" dxfId="13" priority="14">
      <formula>$I$28=0</formula>
    </cfRule>
  </conditionalFormatting>
  <conditionalFormatting sqref="B227">
    <cfRule type="expression" dxfId="12" priority="13">
      <formula>$I$28=0</formula>
    </cfRule>
  </conditionalFormatting>
  <conditionalFormatting sqref="B239">
    <cfRule type="expression" dxfId="11" priority="12">
      <formula>$I$28=0</formula>
    </cfRule>
  </conditionalFormatting>
  <conditionalFormatting sqref="B301">
    <cfRule type="expression" dxfId="10" priority="11">
      <formula>$I$28=0</formula>
    </cfRule>
  </conditionalFormatting>
  <conditionalFormatting sqref="B322">
    <cfRule type="expression" dxfId="9" priority="10">
      <formula>$I$28=0</formula>
    </cfRule>
  </conditionalFormatting>
  <conditionalFormatting sqref="B343">
    <cfRule type="expression" dxfId="8" priority="9">
      <formula>$I$28=0</formula>
    </cfRule>
  </conditionalFormatting>
  <conditionalFormatting sqref="N11 Q11 T11 O33">
    <cfRule type="cellIs" dxfId="7" priority="8" operator="equal">
      <formula>$M$11</formula>
    </cfRule>
  </conditionalFormatting>
  <conditionalFormatting sqref="M12">
    <cfRule type="cellIs" dxfId="6" priority="7" operator="equal">
      <formula>$M$11</formula>
    </cfRule>
  </conditionalFormatting>
  <conditionalFormatting sqref="H24">
    <cfRule type="cellIs" dxfId="5" priority="6" operator="equal">
      <formula>$M$11</formula>
    </cfRule>
  </conditionalFormatting>
  <conditionalFormatting sqref="O34:O35">
    <cfRule type="cellIs" dxfId="4" priority="5" operator="equal">
      <formula>$M$11</formula>
    </cfRule>
  </conditionalFormatting>
  <conditionalFormatting sqref="D16">
    <cfRule type="cellIs" dxfId="3" priority="4" operator="equal">
      <formula>$M$11</formula>
    </cfRule>
  </conditionalFormatting>
  <conditionalFormatting sqref="E12">
    <cfRule type="cellIs" dxfId="2" priority="3" operator="equal">
      <formula>$M$11</formula>
    </cfRule>
  </conditionalFormatting>
  <conditionalFormatting sqref="O36">
    <cfRule type="cellIs" dxfId="1" priority="2" operator="equal">
      <formula>$M$11</formula>
    </cfRule>
  </conditionalFormatting>
  <conditionalFormatting sqref="M14">
    <cfRule type="cellIs" dxfId="0"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C84C4A3D-2D3C-4C53-B9C0-615684BA0B7C}">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68C33EB5-E017-452D-A4F2-A1DE59EA2265}">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B01E524D-051E-4568-8C92-AE284BE1028E}">
      <formula1>E202:E206</formula1>
    </dataValidation>
    <dataValidation type="list" allowBlank="1" showInputMessage="1" showErrorMessage="1" sqref="J12:J15 D15:I15 D13:I13 O22:T22" xr:uid="{8790A739-3E30-44CB-8CD0-893C9939D39A}">
      <formula1>$O$33:$O$35</formula1>
    </dataValidation>
    <dataValidation type="list" allowBlank="1" showInputMessage="1" showErrorMessage="1" sqref="D16:I16" xr:uid="{3F0FE020-CDD7-41B8-9B46-8F7869258426}">
      <formula1>$O$33:$O$36</formula1>
    </dataValidation>
    <dataValidation type="whole" allowBlank="1" showInputMessage="1" showErrorMessage="1" sqref="H14:I14" xr:uid="{EA91F527-05B3-43F5-ABF9-B7B79B4A183A}">
      <formula1>60</formula1>
      <formula2>200</formula2>
    </dataValidation>
  </dataValidations>
  <hyperlinks>
    <hyperlink ref="C7" r:id="rId1" xr:uid="{C306B22B-BCF7-4034-9CAB-59FAB873A3E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EA4294AC-D19D-4BCC-8E1C-296C07D99492}">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8" customWidth="1"/>
    <col min="2" max="2" width="31.5703125" style="648" customWidth="1"/>
    <col min="3" max="3" width="28" style="648" customWidth="1"/>
    <col min="4" max="4" width="65.85546875" style="648" customWidth="1"/>
    <col min="5" max="5" width="23.5703125" style="648" bestFit="1" customWidth="1"/>
    <col min="6" max="7" width="23.140625" style="648" customWidth="1"/>
    <col min="8" max="8" width="1.42578125" style="640" customWidth="1"/>
    <col min="9" max="9" width="27.5703125" style="648" customWidth="1"/>
    <col min="10" max="10" width="2" style="648" customWidth="1"/>
    <col min="11" max="11" width="27.5703125" style="648" customWidth="1"/>
    <col min="12" max="12" width="2" style="640" customWidth="1"/>
    <col min="13" max="13" width="21.7109375" style="678" customWidth="1"/>
    <col min="14" max="14" width="21.5703125" style="678" customWidth="1"/>
    <col min="15" max="15" width="17.85546875" style="678" customWidth="1"/>
    <col min="16" max="16" width="16.28515625" style="678" bestFit="1" customWidth="1"/>
    <col min="17" max="17" width="15.28515625" style="678" customWidth="1"/>
    <col min="18" max="18" width="17.85546875" style="678" bestFit="1" customWidth="1"/>
    <col min="19" max="23" width="9.140625" style="640"/>
    <col min="24" max="16384" width="9.140625" style="648"/>
  </cols>
  <sheetData>
    <row r="1" spans="1:20" s="640" customFormat="1" ht="23.25" customHeight="1">
      <c r="D1" s="641"/>
      <c r="I1" s="1190" t="s">
        <v>543</v>
      </c>
      <c r="J1" s="1190"/>
      <c r="K1" s="1190"/>
      <c r="M1" s="642"/>
      <c r="N1" s="643"/>
      <c r="O1" s="643"/>
      <c r="P1" s="643"/>
      <c r="Q1" s="643"/>
      <c r="R1" s="643"/>
    </row>
    <row r="2" spans="1:20" s="640" customFormat="1" ht="57" customHeight="1">
      <c r="A2" s="1191" t="s">
        <v>611</v>
      </c>
      <c r="B2" s="1192"/>
      <c r="C2" s="644"/>
      <c r="D2" s="645"/>
      <c r="E2" s="646"/>
      <c r="F2" s="646"/>
      <c r="G2" s="647">
        <f>+'10.a-Cash-flow 1. év'!O15+'10.b-Cash-flow 2. év'!O15</f>
        <v>3333333</v>
      </c>
      <c r="I2" s="119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4"/>
      <c r="K2" s="1195"/>
      <c r="M2" s="642" t="s">
        <v>544</v>
      </c>
      <c r="N2" s="642" t="s">
        <v>545</v>
      </c>
      <c r="O2" s="643"/>
      <c r="P2" s="643"/>
      <c r="Q2" s="643"/>
      <c r="R2" s="643"/>
    </row>
    <row r="3" spans="1:20" s="640" customFormat="1" ht="57" customHeight="1">
      <c r="A3" s="1192"/>
      <c r="B3" s="1192"/>
      <c r="C3" s="648"/>
      <c r="D3" s="649">
        <f ca="1">NOW()</f>
        <v>43383.613652083332</v>
      </c>
      <c r="E3" s="1196">
        <f>+'10.a-Cash-flow 1. év'!O8+'10.a-Cash-flow 1. év'!O9</f>
        <v>1500000</v>
      </c>
      <c r="F3" s="1196">
        <f>+'10.b-Cash-flow 2. év'!O8+'10.b-Cash-flow 2. év'!O9</f>
        <v>1500000</v>
      </c>
      <c r="G3" s="1197">
        <f>+'10.a-Cash-flow 1. év'!O16+'10.b-Cash-flow 2. év'!O16</f>
        <v>2999999.7</v>
      </c>
      <c r="I3" s="119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4"/>
      <c r="K3" s="1195"/>
      <c r="M3" s="642" t="s">
        <v>612</v>
      </c>
      <c r="N3" s="642" t="s">
        <v>546</v>
      </c>
      <c r="O3" s="643"/>
      <c r="P3" s="643"/>
      <c r="Q3" s="643"/>
      <c r="R3" s="643"/>
    </row>
    <row r="4" spans="1:20" s="640" customFormat="1" ht="54.75" customHeight="1">
      <c r="A4" s="1192"/>
      <c r="B4" s="1192"/>
      <c r="D4" s="650" t="str">
        <f>HYPERLINK("https://youtu.be/OMgLQ-bE7v0","Kisvideó - kérjük nézze meg!")</f>
        <v>Kisvideó - kérjük nézze meg!</v>
      </c>
      <c r="E4" s="1196"/>
      <c r="F4" s="1196"/>
      <c r="G4" s="1197"/>
      <c r="I4" s="1198" t="str">
        <f>IF(G3&lt;3000000,"A támogatási összeg nem haladja meg a 3.000.000 Ft-ot.","HIBA! - tervezze át, mert az igényelt támogatás összege több mint 3.000.000 Ft!")</f>
        <v>A támogatási összeg nem haladja meg a 3.000.000 Ft-ot.</v>
      </c>
      <c r="J4" s="1198"/>
      <c r="K4" s="1198"/>
      <c r="M4" s="642" t="s">
        <v>547</v>
      </c>
      <c r="N4" s="642" t="s">
        <v>548</v>
      </c>
      <c r="T4" s="643"/>
    </row>
    <row r="5" spans="1:20" s="640" customFormat="1" ht="18.75">
      <c r="E5" s="646"/>
      <c r="F5" s="646"/>
      <c r="G5" s="651">
        <f>+'10.a-Cash-flow 1. év'!O45+'10.b-Cash-flow 2. év'!O45</f>
        <v>3853000</v>
      </c>
      <c r="M5" s="642" t="s">
        <v>613</v>
      </c>
      <c r="N5" s="642"/>
      <c r="O5" s="643"/>
      <c r="P5" s="643"/>
      <c r="Q5" s="652"/>
      <c r="R5" s="643"/>
    </row>
    <row r="6" spans="1:20" s="640" customFormat="1" ht="18.75">
      <c r="E6" s="653"/>
      <c r="F6" s="653"/>
      <c r="G6" s="651">
        <f>+'10.a-Cash-flow 1. év'!O68+'10.b-Cash-flow 2. év'!O68</f>
        <v>7186333</v>
      </c>
      <c r="I6" s="1184"/>
      <c r="J6" s="1184"/>
      <c r="K6" s="1184"/>
      <c r="M6" s="642" t="s">
        <v>549</v>
      </c>
      <c r="N6" s="642"/>
      <c r="O6" s="643"/>
      <c r="P6" s="643"/>
      <c r="Q6" s="652"/>
      <c r="R6" s="643"/>
    </row>
    <row r="7" spans="1:20" s="640" customFormat="1">
      <c r="M7" s="642" t="s">
        <v>614</v>
      </c>
      <c r="N7" s="642"/>
    </row>
    <row r="8" spans="1:20" s="640" customFormat="1" ht="66">
      <c r="A8" s="1185" t="s">
        <v>550</v>
      </c>
      <c r="B8" s="1185"/>
      <c r="C8" s="654" t="s">
        <v>551</v>
      </c>
      <c r="D8" s="654" t="s">
        <v>552</v>
      </c>
      <c r="E8" s="654" t="s">
        <v>553</v>
      </c>
      <c r="F8" s="654" t="s">
        <v>554</v>
      </c>
      <c r="G8" s="654" t="s">
        <v>555</v>
      </c>
      <c r="I8" s="655" t="s">
        <v>556</v>
      </c>
      <c r="J8" s="656"/>
      <c r="K8" s="655" t="s">
        <v>557</v>
      </c>
      <c r="M8" s="657">
        <v>6.5000000000000002E-2</v>
      </c>
      <c r="N8" s="657"/>
      <c r="O8" s="658" t="s">
        <v>558</v>
      </c>
      <c r="P8" s="659">
        <v>0.15</v>
      </c>
      <c r="Q8" s="659"/>
      <c r="R8" s="660" t="s">
        <v>558</v>
      </c>
    </row>
    <row r="9" spans="1:20" s="640" customFormat="1" ht="57.75" customHeight="1">
      <c r="A9" s="1178" t="s">
        <v>559</v>
      </c>
      <c r="B9" s="1186" t="s">
        <v>560</v>
      </c>
      <c r="C9" s="1178" t="s">
        <v>561</v>
      </c>
      <c r="D9" s="1178" t="s">
        <v>562</v>
      </c>
      <c r="E9" s="1188">
        <f>+'10.a-Cash-flow 1. év'!O17</f>
        <v>0</v>
      </c>
      <c r="F9" s="1188">
        <f>+'10.b-Cash-flow 2. év'!O17</f>
        <v>0</v>
      </c>
      <c r="G9" s="1188">
        <f>+'10.a-Cash-flow 1. év'!O17+'10.b-Cash-flow 2. év'!O17</f>
        <v>0</v>
      </c>
      <c r="H9" s="661"/>
      <c r="I9" s="662" t="str">
        <f>IF(N9=0,IF(M9&gt;O9,"HIBA! - tervezze át, meghaladja az előírt korlátot.","A tervezési korlát rendben van."),0)</f>
        <v>A tervezési korlát rendben van.</v>
      </c>
      <c r="J9" s="663"/>
      <c r="K9" s="664">
        <f>IF(N9&gt;0,IF(N9&gt;O9,"HIBA! - tervezze át, meghaladja az előírt korlátot.","A tervezési korlát rendben van."),0)</f>
        <v>0</v>
      </c>
      <c r="M9" s="665">
        <f>G9+G11+G26</f>
        <v>6000</v>
      </c>
      <c r="N9" s="665">
        <f>IF($G$30=0,0,M9*1.27)</f>
        <v>0</v>
      </c>
      <c r="O9" s="665">
        <f>G32/100*6.5</f>
        <v>216666.64500000002</v>
      </c>
    </row>
    <row r="10" spans="1:20" s="640" customFormat="1" ht="57.75" customHeight="1">
      <c r="A10" s="1180"/>
      <c r="B10" s="1187"/>
      <c r="C10" s="1180"/>
      <c r="D10" s="1180"/>
      <c r="E10" s="1189"/>
      <c r="F10" s="1189"/>
      <c r="G10" s="1189"/>
      <c r="H10" s="661"/>
      <c r="I10" s="662" t="str">
        <f>IF(Q10=0,IF(P10&gt;R10,"HIBA! - tervezze át, meghaladja az előírt korlátot.","A tervezési korlát rendben van."),0)</f>
        <v>A tervezési korlát rendben van.</v>
      </c>
      <c r="J10" s="663"/>
      <c r="K10" s="664">
        <f>IF(Q10&gt;0,IF(Q10&gt;R10,"HIBA! - tervezze át, meghaladja az előírt korlátot.","A tervezési korlát rendben van."),0)</f>
        <v>0</v>
      </c>
      <c r="L10" s="661"/>
      <c r="M10" s="666"/>
      <c r="N10" s="667"/>
      <c r="O10" s="667"/>
      <c r="P10" s="665">
        <f>G11+G26</f>
        <v>6000</v>
      </c>
      <c r="Q10" s="668">
        <f>IF($G$30=0,0,P10*1.27)</f>
        <v>0</v>
      </c>
      <c r="R10" s="665">
        <f>G32*0.15</f>
        <v>499999.94999999995</v>
      </c>
    </row>
    <row r="11" spans="1:20" s="640" customFormat="1" ht="150">
      <c r="A11" s="669" t="s">
        <v>563</v>
      </c>
      <c r="B11" s="670" t="s">
        <v>564</v>
      </c>
      <c r="C11" s="671" t="s">
        <v>565</v>
      </c>
      <c r="D11" s="668"/>
      <c r="E11" s="672">
        <f>+'10.a-Cash-flow 1. év'!O23</f>
        <v>0</v>
      </c>
      <c r="F11" s="672">
        <f>+'10.b-Cash-flow 2. év'!O23</f>
        <v>6000</v>
      </c>
      <c r="G11" s="672">
        <f>+'10.a-Cash-flow 1. év'!O23+'10.b-Cash-flow 2. év'!O23</f>
        <v>6000</v>
      </c>
      <c r="H11" s="661"/>
      <c r="I11" s="673">
        <f>IF(G11=0,"Nem tervezett kötelezően előírt nyivánosság biztosításához költséget, kérjük tervezzen!",0)</f>
        <v>0</v>
      </c>
      <c r="J11" s="674"/>
      <c r="K11" s="674" t="s">
        <v>566</v>
      </c>
      <c r="L11" s="705"/>
      <c r="M11" s="642" t="s">
        <v>567</v>
      </c>
      <c r="N11" s="642" t="s">
        <v>568</v>
      </c>
      <c r="O11" s="705"/>
      <c r="P11" s="706"/>
      <c r="R11" s="643"/>
    </row>
    <row r="12" spans="1:20" s="640" customFormat="1" ht="71.25" customHeight="1">
      <c r="A12" s="1178" t="s">
        <v>571</v>
      </c>
      <c r="B12" s="1178" t="s">
        <v>572</v>
      </c>
      <c r="C12" s="1178" t="s">
        <v>573</v>
      </c>
      <c r="D12" s="1178" t="s">
        <v>574</v>
      </c>
      <c r="E12" s="1170">
        <f>+'10.a-Cash-flow 1. év'!O20</f>
        <v>361000</v>
      </c>
      <c r="F12" s="1170">
        <f>+'10.b-Cash-flow 2. év'!O20</f>
        <v>1805000</v>
      </c>
      <c r="G12" s="1170">
        <f>+'10.a-Cash-flow 1. év'!O20+'10.b-Cash-flow 2. év'!O20</f>
        <v>2166000</v>
      </c>
      <c r="H12" s="661"/>
      <c r="I12" s="675" t="str">
        <f>IF(E12&gt;0,"Az 1. üzleti évre tervezett költséget foglalkoztatásra.","Az 1. üzleti évre NEM tervezett költséget foglalkoztatásra, kérjük pótolja!")</f>
        <v>Az 1. üzleti évre tervezett költséget foglalkoztatásra.</v>
      </c>
      <c r="J12" s="642"/>
      <c r="K12" s="674" t="s">
        <v>620</v>
      </c>
      <c r="L12" s="642"/>
      <c r="M12" s="676" t="str">
        <f>IF(P12&gt;0,"A 3. üzleti évre tervezett költséget foglalkoztatásra.","A 3. üzleti évre NEM tervezett költséget foglalkoztatásra, kérjük pótolja!")</f>
        <v>A 3. üzleti évre tervezett költséget foglalkoztatásra.</v>
      </c>
      <c r="N12" s="642"/>
      <c r="O12" s="677" t="s">
        <v>569</v>
      </c>
      <c r="P12" s="1176">
        <f>+'10.c-Cash-flow 3-4. év'!C20+'10.c-Cash-flow 3-4. év'!C20+'10.c-Cash-flow 3-4. év'!C59+'10.c-Cash-flow 3-4. év'!C60+'10.c-Cash-flow 3-4. év'!C61</f>
        <v>2166000</v>
      </c>
      <c r="Q12" s="1176"/>
      <c r="R12" s="643"/>
    </row>
    <row r="13" spans="1:20" s="640" customFormat="1" ht="71.25" customHeight="1">
      <c r="A13" s="1180"/>
      <c r="B13" s="1180"/>
      <c r="C13" s="1180"/>
      <c r="D13" s="1180"/>
      <c r="E13" s="1172"/>
      <c r="F13" s="1172"/>
      <c r="G13" s="1172"/>
      <c r="H13" s="661"/>
      <c r="I13" s="675" t="str">
        <f>IF(F12&gt;0,"A 2. üzleti évre tervezett költséget foglalkoztatásra.","A 2. üzleti évre NEM tervezett költséget foglalkoztatásra, kérjük pótolja!")</f>
        <v>A 2. üzleti évre tervezett költséget foglalkoztatásra.</v>
      </c>
      <c r="J13" s="678"/>
      <c r="K13" s="704" t="s">
        <v>579</v>
      </c>
      <c r="L13" s="643"/>
      <c r="N13" s="676" t="str">
        <f>IF(P13&gt;0,"A 4. üzleti évre tervezett költséget foglalkoztatásra.","A 4. üzleti évre NEM tervezett költséget foglalkoztatásra, kérjük pótolja!!")</f>
        <v>A 4. üzleti évre tervezett költséget foglalkoztatásra.</v>
      </c>
      <c r="O13" s="677" t="s">
        <v>570</v>
      </c>
      <c r="P13" s="1176">
        <f>+'10.c-Cash-flow 3-4. év'!D20+'10.c-Cash-flow 3-4. év'!D59+'10.c-Cash-flow 3-4. év'!D60+'10.c-Cash-flow 3-4. év'!D61</f>
        <v>2166000</v>
      </c>
      <c r="Q13" s="1176"/>
      <c r="R13" s="678"/>
    </row>
    <row r="14" spans="1:20" s="640" customFormat="1" ht="60">
      <c r="A14" s="669" t="s">
        <v>575</v>
      </c>
      <c r="B14" s="669" t="s">
        <v>576</v>
      </c>
      <c r="C14" s="679" t="s">
        <v>577</v>
      </c>
      <c r="D14" s="669" t="s">
        <v>578</v>
      </c>
      <c r="E14" s="680">
        <f>+'10.a-Cash-flow 1. év'!O24</f>
        <v>561333</v>
      </c>
      <c r="F14" s="680">
        <f>+'10.b-Cash-flow 2. év'!O24</f>
        <v>0</v>
      </c>
      <c r="G14" s="680">
        <f>+'10.a-Cash-flow 1. év'!O24+'10.b-Cash-flow 2. év'!O24</f>
        <v>561333</v>
      </c>
      <c r="H14" s="661"/>
      <c r="I14" s="642" t="s">
        <v>579</v>
      </c>
      <c r="J14" s="642"/>
      <c r="K14" s="642" t="s">
        <v>580</v>
      </c>
      <c r="L14" s="642"/>
      <c r="M14" s="642" t="s">
        <v>581</v>
      </c>
      <c r="N14" s="642" t="s">
        <v>582</v>
      </c>
      <c r="O14" s="642"/>
      <c r="P14" s="643"/>
      <c r="Q14" s="643"/>
      <c r="R14" s="643"/>
    </row>
    <row r="15" spans="1:20" s="640" customFormat="1" ht="30">
      <c r="A15" s="669" t="s">
        <v>583</v>
      </c>
      <c r="B15" s="669" t="s">
        <v>584</v>
      </c>
      <c r="C15" s="681"/>
      <c r="D15" s="668"/>
      <c r="E15" s="680">
        <f>+'10.a-Cash-flow 1. év'!O27</f>
        <v>0</v>
      </c>
      <c r="F15" s="680">
        <f>+'10.b-Cash-flow 2. év'!O27</f>
        <v>0</v>
      </c>
      <c r="G15" s="680">
        <f>+'10.a-Cash-flow 1. év'!O27+'10.b-Cash-flow 2. év'!O27</f>
        <v>0</v>
      </c>
      <c r="H15" s="661"/>
      <c r="I15" s="643"/>
      <c r="J15" s="643"/>
      <c r="K15" s="643"/>
      <c r="L15" s="661"/>
      <c r="M15" s="682">
        <v>0.3</v>
      </c>
      <c r="N15" s="682"/>
      <c r="O15" s="683" t="s">
        <v>558</v>
      </c>
      <c r="P15" s="643"/>
      <c r="Q15" s="643"/>
      <c r="R15" s="643"/>
    </row>
    <row r="16" spans="1:20" s="640" customFormat="1" ht="45">
      <c r="A16" s="669" t="s">
        <v>585</v>
      </c>
      <c r="B16" s="669" t="s">
        <v>584</v>
      </c>
      <c r="C16" s="684" t="s">
        <v>586</v>
      </c>
      <c r="D16" s="668"/>
      <c r="E16" s="680">
        <f>+'10.a-Cash-flow 1. év'!O28</f>
        <v>100000</v>
      </c>
      <c r="F16" s="680">
        <f>+'10.b-Cash-flow 2. év'!O28</f>
        <v>500000</v>
      </c>
      <c r="G16" s="680">
        <f>+'10.a-Cash-flow 1. év'!O28+'10.b-Cash-flow 2. év'!O28</f>
        <v>600000</v>
      </c>
      <c r="H16" s="661"/>
      <c r="I16" s="662" t="str">
        <f>IF(N16=0,IF(M16&gt;O16,"HIBA! - tervezze át, meghaladja az előírt korlátot.","A tervezési korlát rendben van."),0)</f>
        <v>A tervezési korlát rendben van.</v>
      </c>
      <c r="J16" s="663"/>
      <c r="K16" s="664">
        <f>IF(N16&gt;0,IF(N16&gt;O16,"HIBA! - tervezze át, meghaladja az előírt korlátot.","A tervezési korlát rendben van."),0)</f>
        <v>0</v>
      </c>
      <c r="L16" s="661"/>
      <c r="M16" s="665">
        <f>G16</f>
        <v>600000</v>
      </c>
      <c r="N16" s="665">
        <f>IF($G$30=0,0,M16*1.27)</f>
        <v>0</v>
      </c>
      <c r="O16" s="665">
        <f>G32*0.3</f>
        <v>999999.89999999991</v>
      </c>
      <c r="P16" s="643"/>
      <c r="Q16" s="643"/>
      <c r="R16" s="643"/>
    </row>
    <row r="17" spans="1:18" s="640" customFormat="1" ht="150">
      <c r="A17" s="669" t="s">
        <v>587</v>
      </c>
      <c r="B17" s="669" t="s">
        <v>588</v>
      </c>
      <c r="C17" s="669" t="s">
        <v>589</v>
      </c>
      <c r="D17" s="669" t="s">
        <v>590</v>
      </c>
      <c r="E17" s="680">
        <f>+'10.a-Cash-flow 1. év'!O29</f>
        <v>0</v>
      </c>
      <c r="F17" s="680">
        <f>+'10.b-Cash-flow 2. év'!O29</f>
        <v>0</v>
      </c>
      <c r="G17" s="680">
        <f>+'10.a-Cash-flow 1. év'!O29+'10.b-Cash-flow 2. év'!O29</f>
        <v>0</v>
      </c>
      <c r="H17" s="661"/>
      <c r="I17" s="643"/>
      <c r="J17" s="643"/>
      <c r="K17" s="643"/>
      <c r="L17" s="643"/>
      <c r="M17" s="643"/>
      <c r="N17" s="643"/>
      <c r="O17" s="643"/>
      <c r="P17" s="643"/>
      <c r="Q17" s="643"/>
      <c r="R17" s="643"/>
    </row>
    <row r="18" spans="1:18" s="640" customFormat="1" ht="75">
      <c r="A18" s="669" t="s">
        <v>591</v>
      </c>
      <c r="B18" s="669" t="s">
        <v>592</v>
      </c>
      <c r="C18" s="681"/>
      <c r="D18" s="669" t="s">
        <v>593</v>
      </c>
      <c r="E18" s="680">
        <f>+'10.a-Cash-flow 1. év'!O32</f>
        <v>0</v>
      </c>
      <c r="F18" s="680">
        <f>+'10.b-Cash-flow 2. év'!O32</f>
        <v>0</v>
      </c>
      <c r="G18" s="680">
        <f>+'10.a-Cash-flow 1. év'!O32+'10.b-Cash-flow 2. év'!O32</f>
        <v>0</v>
      </c>
      <c r="H18" s="661"/>
      <c r="I18" s="643"/>
      <c r="J18" s="643"/>
      <c r="K18" s="643"/>
      <c r="L18" s="661"/>
      <c r="M18" s="685">
        <v>0.3</v>
      </c>
      <c r="N18" s="685"/>
      <c r="O18" s="686" t="s">
        <v>594</v>
      </c>
      <c r="P18" s="643"/>
      <c r="Q18" s="643"/>
      <c r="R18" s="643"/>
    </row>
    <row r="19" spans="1:18" s="640" customFormat="1" ht="45">
      <c r="A19" s="669" t="s">
        <v>595</v>
      </c>
      <c r="B19" s="669" t="s">
        <v>596</v>
      </c>
      <c r="C19" s="687" t="s">
        <v>586</v>
      </c>
      <c r="D19" s="669" t="s">
        <v>597</v>
      </c>
      <c r="E19" s="680">
        <f>+'10.a-Cash-flow 1. év'!O35</f>
        <v>0</v>
      </c>
      <c r="F19" s="680">
        <f>+'10.b-Cash-flow 2. év'!O35</f>
        <v>0</v>
      </c>
      <c r="G19" s="680">
        <f>+'10.a-Cash-flow 1. év'!O35+'10.b-Cash-flow 2. év'!O35</f>
        <v>0</v>
      </c>
      <c r="H19" s="661"/>
      <c r="I19" s="662" t="str">
        <f>IF(N19=0,IF(M19&gt;O19,"HIBA! - tervezze át, meghaladja az előírt korlátot.","A tervezési korlát rendben van."),0)</f>
        <v>A tervezési korlát rendben van.</v>
      </c>
      <c r="J19" s="663"/>
      <c r="K19" s="664">
        <f>IF(N19&gt;0,IF(N19&gt;O19,"HIBA! - tervezze át, meghaladja az előírt korlátot.","A tervezési korlát rendben van."),0)</f>
        <v>0</v>
      </c>
      <c r="L19" s="661"/>
      <c r="M19" s="665">
        <f>G19</f>
        <v>0</v>
      </c>
      <c r="N19" s="665">
        <f>IF($G$30=0,0,M19*1.27)</f>
        <v>0</v>
      </c>
      <c r="O19" s="665">
        <f>G32*0.3</f>
        <v>999999.89999999991</v>
      </c>
      <c r="P19" s="643"/>
      <c r="Q19" s="643"/>
      <c r="R19" s="643"/>
    </row>
    <row r="20" spans="1:18" s="640" customFormat="1" ht="60">
      <c r="A20" s="669" t="s">
        <v>598</v>
      </c>
      <c r="B20" s="669" t="s">
        <v>599</v>
      </c>
      <c r="C20" s="1177" t="s">
        <v>586</v>
      </c>
      <c r="D20" s="669" t="s">
        <v>600</v>
      </c>
      <c r="E20" s="688">
        <f>+'10.a-Cash-flow 1. év'!O36</f>
        <v>0</v>
      </c>
      <c r="F20" s="688">
        <f>+'10.b-Cash-flow 2. év'!O36</f>
        <v>0</v>
      </c>
      <c r="G20" s="688">
        <f>+'10.a-Cash-flow 1. év'!O36+'10.b-Cash-flow 2. év'!O36</f>
        <v>0</v>
      </c>
      <c r="H20" s="661"/>
      <c r="I20" s="643"/>
      <c r="J20" s="643"/>
      <c r="K20" s="643"/>
      <c r="L20" s="661"/>
      <c r="M20" s="689">
        <v>0.3</v>
      </c>
      <c r="N20" s="689"/>
      <c r="O20" s="690" t="s">
        <v>594</v>
      </c>
      <c r="P20" s="643"/>
      <c r="Q20" s="643"/>
      <c r="R20" s="643"/>
    </row>
    <row r="21" spans="1:18" s="640" customFormat="1" ht="165">
      <c r="A21" s="669" t="s">
        <v>601</v>
      </c>
      <c r="B21" s="669" t="s">
        <v>602</v>
      </c>
      <c r="C21" s="1177"/>
      <c r="D21" s="669" t="s">
        <v>603</v>
      </c>
      <c r="E21" s="688">
        <f>+'10.a-Cash-flow 1. év'!O37</f>
        <v>0</v>
      </c>
      <c r="F21" s="688">
        <f>+'10.b-Cash-flow 2. év'!O37</f>
        <v>0</v>
      </c>
      <c r="G21" s="688">
        <f>+'10.a-Cash-flow 1. év'!O37+'10.b-Cash-flow 2. év'!O37</f>
        <v>0</v>
      </c>
      <c r="H21" s="661"/>
      <c r="I21" s="700" t="str">
        <f>IF(N21=0,IF(M21&gt;O21,"HIBA! - tervezze át, meghaladja az előírt korlátot.","A tervezési korlát rendben van."),0)</f>
        <v>A tervezési korlát rendben van.</v>
      </c>
      <c r="J21" s="663"/>
      <c r="K21" s="701">
        <f>IF(N21&gt;0,IF(N21&gt;O21,"HIBA! - tervezze át, meghaladja az előírt korlátot.","A tervezési korlát rendben van."),0)</f>
        <v>0</v>
      </c>
      <c r="L21" s="661"/>
      <c r="M21" s="665">
        <f>G20+G21</f>
        <v>0</v>
      </c>
      <c r="N21" s="665">
        <f>IF($G$30=0,0,M21*1.27)</f>
        <v>0</v>
      </c>
      <c r="O21" s="665">
        <f>G32*0.3</f>
        <v>999999.89999999991</v>
      </c>
      <c r="P21" s="643"/>
      <c r="Q21" s="642"/>
      <c r="R21" s="643"/>
    </row>
    <row r="22" spans="1:18" s="640" customFormat="1" ht="37.5" customHeight="1">
      <c r="A22" s="1178" t="s">
        <v>604</v>
      </c>
      <c r="B22" s="1178" t="s">
        <v>605</v>
      </c>
      <c r="C22" s="1181"/>
      <c r="D22" s="1178" t="s">
        <v>606</v>
      </c>
      <c r="E22" s="1170">
        <f>+'10.a-Cash-flow 1. év'!O38</f>
        <v>0</v>
      </c>
      <c r="F22" s="1170">
        <f>+'10.b-Cash-flow 2. év'!O38</f>
        <v>0</v>
      </c>
      <c r="G22" s="1170">
        <f>+'10.a-Cash-flow 1. év'!O38+'10.b-Cash-flow 2. év'!O38</f>
        <v>0</v>
      </c>
      <c r="H22" s="661"/>
      <c r="I22" s="117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3"/>
      <c r="K22" s="1173"/>
      <c r="L22" s="661"/>
      <c r="M22" s="709"/>
      <c r="N22" s="709"/>
      <c r="O22" s="709"/>
      <c r="P22" s="707"/>
      <c r="Q22" s="674" t="s">
        <v>617</v>
      </c>
      <c r="R22" s="708"/>
    </row>
    <row r="23" spans="1:18" s="640" customFormat="1" ht="37.5">
      <c r="A23" s="1179"/>
      <c r="B23" s="1179"/>
      <c r="C23" s="1182"/>
      <c r="D23" s="1179"/>
      <c r="E23" s="1171"/>
      <c r="F23" s="1171"/>
      <c r="G23" s="1171"/>
      <c r="H23" s="661"/>
      <c r="I23" s="702" t="str">
        <f>IF(N23=0,IF(M23&gt;O23,"HIBA! - tervezze át, meghaladja az előírt korlátot.","A tervezési korlát rendben van."),0)</f>
        <v>A tervezési korlát rendben van.</v>
      </c>
      <c r="J23" s="643"/>
      <c r="K23" s="703">
        <f>IF(N23&gt;0,IF(N23&gt;O23,"HIBA! - tervezze át, meghaladja az előírt korlátot.","A tervezési korlát rendben van."),0)</f>
        <v>0</v>
      </c>
      <c r="L23" s="643"/>
      <c r="M23" s="710">
        <f>+G22</f>
        <v>0</v>
      </c>
      <c r="N23" s="710">
        <f>IF($G$30=0,0,M23*1.27)</f>
        <v>0</v>
      </c>
      <c r="O23" s="710">
        <f>300000*1.27</f>
        <v>381000</v>
      </c>
      <c r="P23" s="707"/>
      <c r="Q23" s="704"/>
      <c r="R23" s="708"/>
    </row>
    <row r="24" spans="1:18" s="640" customFormat="1" ht="39.75" customHeight="1">
      <c r="A24" s="1179"/>
      <c r="B24" s="1179"/>
      <c r="C24" s="1182"/>
      <c r="D24" s="1179"/>
      <c r="E24" s="1171"/>
      <c r="F24" s="1171"/>
      <c r="G24" s="1171"/>
      <c r="H24" s="661"/>
      <c r="I24" s="1173">
        <f>IF(M24=0,"Nem tervezett anyagköltséget a 3. üzleti évre, kérjük vizsgálja felül miért nincs szüksége vállalkozásának vásárolt anyagokra.",0)</f>
        <v>0</v>
      </c>
      <c r="J24" s="1173"/>
      <c r="K24" s="1173"/>
      <c r="M24" s="1174">
        <f>+'10.c-Cash-flow 3-4. év'!C50+'10.c-Cash-flow 3-4. év'!C51</f>
        <v>360000</v>
      </c>
      <c r="N24" s="1175"/>
      <c r="O24" s="1175"/>
      <c r="P24" s="677" t="s">
        <v>615</v>
      </c>
      <c r="Q24" s="704" t="s">
        <v>618</v>
      </c>
      <c r="R24" s="708"/>
    </row>
    <row r="25" spans="1:18" s="640" customFormat="1" ht="39.75" customHeight="1">
      <c r="A25" s="1180"/>
      <c r="B25" s="1180"/>
      <c r="C25" s="1183"/>
      <c r="D25" s="1180"/>
      <c r="E25" s="1172"/>
      <c r="F25" s="1172"/>
      <c r="G25" s="1172"/>
      <c r="H25" s="661"/>
      <c r="I25" s="1173">
        <f>IF(M25=0,"Nem tervezett anyagköltséget a 4. üzleti évre, kérjük vizsgálja felül miért nincs szüksége vállalkozásának vásárolt anyagokra.",0)</f>
        <v>0</v>
      </c>
      <c r="J25" s="1173"/>
      <c r="K25" s="1173"/>
      <c r="M25" s="1174">
        <f>+'10.c-Cash-flow 3-4. év'!D50+'10.c-Cash-flow 3-4. év'!D51</f>
        <v>360000</v>
      </c>
      <c r="N25" s="1175"/>
      <c r="O25" s="1175"/>
      <c r="P25" s="677" t="s">
        <v>616</v>
      </c>
      <c r="Q25" s="704" t="s">
        <v>619</v>
      </c>
      <c r="R25" s="708"/>
    </row>
    <row r="26" spans="1:18" s="640" customFormat="1" ht="150">
      <c r="A26" s="669" t="s">
        <v>607</v>
      </c>
      <c r="B26" s="670" t="s">
        <v>608</v>
      </c>
      <c r="C26" s="671" t="s">
        <v>609</v>
      </c>
      <c r="D26" s="668"/>
      <c r="E26" s="672">
        <f>+'10.a-Cash-flow 1. év'!O39</f>
        <v>0</v>
      </c>
      <c r="F26" s="672">
        <f>+'10.b-Cash-flow 2. év'!O39</f>
        <v>0</v>
      </c>
      <c r="G26" s="672">
        <f>+'10.a-Cash-flow 1. év'!O39+'10.b-Cash-flow 2. év'!O39</f>
        <v>0</v>
      </c>
      <c r="H26" s="661"/>
      <c r="I26" s="643"/>
      <c r="J26" s="643"/>
      <c r="K26" s="643"/>
      <c r="L26" s="643"/>
      <c r="M26" s="643"/>
      <c r="N26" s="643"/>
      <c r="O26" s="643"/>
      <c r="P26" s="643"/>
      <c r="Q26" s="642"/>
      <c r="R26" s="643"/>
    </row>
    <row r="27" spans="1:18" s="691" customFormat="1" ht="18.75">
      <c r="A27" s="1169" t="s">
        <v>229</v>
      </c>
      <c r="B27" s="1169"/>
      <c r="C27" s="1169"/>
      <c r="E27" s="692">
        <f>SUM(E9:E26)</f>
        <v>1022333</v>
      </c>
      <c r="F27" s="692">
        <f>SUM(F9:F26)</f>
        <v>2311000</v>
      </c>
      <c r="G27" s="692">
        <f>SUM(G9:G26)</f>
        <v>3333333</v>
      </c>
      <c r="M27" s="693"/>
      <c r="N27" s="693"/>
      <c r="O27" s="693"/>
      <c r="P27" s="693"/>
      <c r="Q27" s="693"/>
      <c r="R27" s="693"/>
    </row>
    <row r="28" spans="1:18" s="640" customFormat="1" ht="21">
      <c r="B28" s="694"/>
      <c r="C28" s="694"/>
      <c r="D28" s="695"/>
      <c r="E28" s="696"/>
      <c r="F28" s="696"/>
      <c r="G28" s="696"/>
      <c r="M28" s="643"/>
      <c r="N28" s="643"/>
      <c r="O28" s="643"/>
      <c r="P28" s="643"/>
      <c r="Q28" s="643"/>
      <c r="R28" s="643"/>
    </row>
    <row r="29" spans="1:18" s="640" customFormat="1" ht="21">
      <c r="B29" s="694"/>
      <c r="C29" s="694"/>
      <c r="D29" s="695"/>
      <c r="E29" s="695"/>
      <c r="F29" s="695"/>
      <c r="G29" s="695"/>
      <c r="M29" s="643"/>
      <c r="N29" s="643"/>
      <c r="O29" s="643"/>
      <c r="P29" s="643"/>
      <c r="Q29" s="643"/>
      <c r="R29" s="643"/>
    </row>
    <row r="30" spans="1:18" s="640" customFormat="1" ht="21">
      <c r="B30" s="694"/>
      <c r="C30" s="694"/>
      <c r="D30" s="697" t="s">
        <v>610</v>
      </c>
      <c r="E30" s="698">
        <f>+'10.a-Cash-flow 1. év'!O44</f>
        <v>0</v>
      </c>
      <c r="F30" s="698">
        <f>+'10.b-Cash-flow 2. év'!O44</f>
        <v>0</v>
      </c>
      <c r="G30" s="698">
        <f>+F30+E30</f>
        <v>0</v>
      </c>
      <c r="M30" s="643"/>
      <c r="N30" s="643"/>
      <c r="O30" s="643"/>
      <c r="P30" s="643"/>
      <c r="Q30" s="643"/>
      <c r="R30" s="643"/>
    </row>
    <row r="31" spans="1:18" s="640" customFormat="1" ht="21">
      <c r="B31" s="694"/>
      <c r="C31" s="694"/>
      <c r="D31" s="695"/>
      <c r="E31" s="695"/>
      <c r="F31" s="695"/>
      <c r="G31" s="695"/>
      <c r="M31" s="643"/>
      <c r="N31" s="643"/>
      <c r="O31" s="643"/>
      <c r="P31" s="643"/>
      <c r="Q31" s="643"/>
      <c r="R31" s="643"/>
    </row>
    <row r="32" spans="1:18" s="640" customFormat="1" ht="21">
      <c r="B32" s="694"/>
      <c r="C32" s="694"/>
      <c r="D32" s="695"/>
      <c r="E32" s="699">
        <f>+E30+E27</f>
        <v>1022333</v>
      </c>
      <c r="F32" s="699">
        <f>+F30+F27</f>
        <v>2311000</v>
      </c>
      <c r="G32" s="699">
        <f>+G30+G27</f>
        <v>3333333</v>
      </c>
      <c r="M32" s="643"/>
      <c r="N32" s="643"/>
      <c r="O32" s="643"/>
      <c r="P32" s="643"/>
      <c r="Q32" s="643"/>
      <c r="R32" s="643"/>
    </row>
    <row r="33" spans="1:18" s="640" customFormat="1">
      <c r="B33" s="694"/>
      <c r="C33" s="694"/>
      <c r="M33" s="643"/>
      <c r="N33" s="643"/>
      <c r="O33" s="643"/>
      <c r="P33" s="643"/>
      <c r="Q33" s="643"/>
      <c r="R33" s="643"/>
    </row>
    <row r="34" spans="1:18" s="640" customFormat="1">
      <c r="M34" s="643"/>
      <c r="N34" s="643"/>
      <c r="O34" s="643"/>
      <c r="P34" s="643"/>
      <c r="Q34" s="643"/>
      <c r="R34" s="643"/>
    </row>
    <row r="35" spans="1:18" s="640" customFormat="1">
      <c r="A35" s="648"/>
      <c r="B35" s="648"/>
      <c r="C35" s="648"/>
      <c r="D35" s="648"/>
      <c r="E35" s="648"/>
      <c r="F35" s="648"/>
      <c r="G35" s="648"/>
      <c r="M35" s="643"/>
      <c r="N35" s="643"/>
      <c r="O35" s="643"/>
      <c r="P35" s="643"/>
      <c r="Q35" s="643"/>
      <c r="R35" s="678"/>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52" priority="27" operator="equal">
      <formula>$M$6</formula>
    </cfRule>
  </conditionalFormatting>
  <conditionalFormatting sqref="I3">
    <cfRule type="cellIs" dxfId="51" priority="21" operator="equal">
      <formula>$M$6</formula>
    </cfRule>
  </conditionalFormatting>
  <conditionalFormatting sqref="I13">
    <cfRule type="cellIs" dxfId="50" priority="17" operator="equal">
      <formula>$M$6</formula>
    </cfRule>
  </conditionalFormatting>
  <conditionalFormatting sqref="M12">
    <cfRule type="cellIs" dxfId="49" priority="15" operator="equal">
      <formula>$M$11</formula>
    </cfRule>
  </conditionalFormatting>
  <conditionalFormatting sqref="N13">
    <cfRule type="cellIs" dxfId="48" priority="13" operator="equal">
      <formula>$N$11</formula>
    </cfRule>
  </conditionalFormatting>
  <conditionalFormatting sqref="I23">
    <cfRule type="cellIs" dxfId="47" priority="7" operator="equal">
      <formula>$M$6</formula>
    </cfRule>
  </conditionalFormatting>
  <conditionalFormatting sqref="K23">
    <cfRule type="cellIs" dxfId="46" priority="5" operator="equal">
      <formula>$M$6</formula>
    </cfRule>
  </conditionalFormatting>
  <conditionalFormatting sqref="I24">
    <cfRule type="cellIs" dxfId="45" priority="3" operator="equal">
      <formula>$M$6</formula>
    </cfRule>
  </conditionalFormatting>
  <conditionalFormatting sqref="I25">
    <cfRule type="cellIs" dxfId="44"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20</vt:i4>
      </vt:variant>
      <vt:variant>
        <vt:lpstr>Névvel ellátott tartományok</vt:lpstr>
      </vt:variant>
      <vt:variant>
        <vt:i4>25</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CF_kontroll</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Dudás Tímea</cp:lastModifiedBy>
  <cp:lastPrinted>2018-10-08T14:46:29Z</cp:lastPrinted>
  <dcterms:created xsi:type="dcterms:W3CDTF">2015-11-18T05:15:47Z</dcterms:created>
  <dcterms:modified xsi:type="dcterms:W3CDTF">2018-10-10T12:44:24Z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