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425" windowHeight="10320" tabRatio="837" firstSheet="7" activeTab="7"/>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terv'!$B$1:$G$83</definedName>
    <definedName name="_xlnm.Print_Area" localSheetId="8">'6.GANTT'!$B$1:$N$15</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25725" iterateDelta="1E-4"/>
</workbook>
</file>

<file path=xl/calcChain.xml><?xml version="1.0" encoding="utf-8"?>
<calcChain xmlns="http://schemas.openxmlformats.org/spreadsheetml/2006/main">
  <c r="I32" i="13"/>
  <c r="C13" i="12" l="1"/>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D71" s="1"/>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I70" s="1"/>
  <c r="H20"/>
  <c r="G20"/>
  <c r="F20"/>
  <c r="E20"/>
  <c r="E70" s="1"/>
  <c r="D20"/>
  <c r="C20"/>
  <c r="O19"/>
  <c r="O18"/>
  <c r="N17"/>
  <c r="N70" s="1"/>
  <c r="M17"/>
  <c r="L17"/>
  <c r="L70" s="1"/>
  <c r="K17"/>
  <c r="K70" s="1"/>
  <c r="J17"/>
  <c r="J70" s="1"/>
  <c r="I17"/>
  <c r="H17"/>
  <c r="G17"/>
  <c r="F17"/>
  <c r="E17"/>
  <c r="D17"/>
  <c r="C17"/>
  <c r="M12"/>
  <c r="K12"/>
  <c r="I12"/>
  <c r="G12"/>
  <c r="E12"/>
  <c r="O10"/>
  <c r="O9"/>
  <c r="O8"/>
  <c r="O7"/>
  <c r="L69" i="13"/>
  <c r="O40"/>
  <c r="O41"/>
  <c r="O42"/>
  <c r="O43"/>
  <c r="O44"/>
  <c r="E30" i="31" s="1"/>
  <c r="G30" s="1"/>
  <c r="O33" i="13"/>
  <c r="O34"/>
  <c r="O35"/>
  <c r="O36"/>
  <c r="O37"/>
  <c r="O38"/>
  <c r="D39"/>
  <c r="E39"/>
  <c r="F39"/>
  <c r="G39"/>
  <c r="H39"/>
  <c r="I39"/>
  <c r="J39"/>
  <c r="K39"/>
  <c r="L39"/>
  <c r="M39"/>
  <c r="N39"/>
  <c r="C39"/>
  <c r="D32"/>
  <c r="E32"/>
  <c r="F32"/>
  <c r="G32"/>
  <c r="H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J17"/>
  <c r="K17"/>
  <c r="L17"/>
  <c r="M17"/>
  <c r="N17"/>
  <c r="C17"/>
  <c r="C70" s="1"/>
  <c r="L12"/>
  <c r="A78" i="25"/>
  <c r="C77" s="1"/>
  <c r="B77"/>
  <c r="A76"/>
  <c r="C75" s="1"/>
  <c r="D12"/>
  <c r="C12"/>
  <c r="F24" i="15"/>
  <c r="F18"/>
  <c r="F14"/>
  <c r="M70" i="28" l="1"/>
  <c r="C70"/>
  <c r="G70"/>
  <c r="C71" i="25"/>
  <c r="D70" i="28"/>
  <c r="F3" i="31"/>
  <c r="F70" i="28"/>
  <c r="H70"/>
  <c r="D70" i="13"/>
  <c r="D15"/>
  <c r="K70"/>
  <c r="G22" i="31"/>
  <c r="E22"/>
  <c r="L70" i="13"/>
  <c r="G19" i="31"/>
  <c r="M19" s="1"/>
  <c r="E19"/>
  <c r="N70" i="13"/>
  <c r="J70"/>
  <c r="E15"/>
  <c r="E70"/>
  <c r="M70"/>
  <c r="I70"/>
  <c r="E20" i="31"/>
  <c r="G20"/>
  <c r="N16"/>
  <c r="K16" s="1"/>
  <c r="N9"/>
  <c r="K9" s="1"/>
  <c r="N23"/>
  <c r="N21"/>
  <c r="K21" s="1"/>
  <c r="N19"/>
  <c r="K19" s="1"/>
  <c r="Q10"/>
  <c r="K10" s="1"/>
  <c r="E21"/>
  <c r="G21"/>
  <c r="M21" s="1"/>
  <c r="E3"/>
  <c r="M69" i="13"/>
  <c r="F21" i="15"/>
  <c r="F25" s="1"/>
  <c r="F27" s="1"/>
  <c r="H69" i="13"/>
  <c r="C69"/>
  <c r="G69"/>
  <c r="O67"/>
  <c r="O11"/>
  <c r="K69"/>
  <c r="C15" i="28"/>
  <c r="C16" s="1"/>
  <c r="G15"/>
  <c r="G68" s="1"/>
  <c r="K15"/>
  <c r="K16" s="1"/>
  <c r="L15"/>
  <c r="C70" i="25"/>
  <c r="D70"/>
  <c r="C15"/>
  <c r="C16" s="1"/>
  <c r="D69" i="13"/>
  <c r="J69"/>
  <c r="C69" i="28"/>
  <c r="C45"/>
  <c r="M69"/>
  <c r="I69"/>
  <c r="E69"/>
  <c r="H45"/>
  <c r="G69"/>
  <c r="K45"/>
  <c r="L68"/>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L16" i="28"/>
  <c r="O17"/>
  <c r="F9" i="31" s="1"/>
  <c r="G16" i="28" l="1"/>
  <c r="C68"/>
  <c r="I13" i="31"/>
  <c r="F27"/>
  <c r="F32" s="1"/>
  <c r="I22"/>
  <c r="M23"/>
  <c r="I23" s="1"/>
  <c r="E26"/>
  <c r="G26"/>
  <c r="K23"/>
  <c r="O12" i="28"/>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G17" i="31" l="1"/>
  <c r="E17"/>
  <c r="E18"/>
  <c r="G18"/>
  <c r="E16"/>
  <c r="G16"/>
  <c r="M16" s="1"/>
  <c r="B7" i="17"/>
  <c r="B97" l="1"/>
  <c r="B101" l="1"/>
  <c r="D29" i="20" l="1"/>
  <c r="E29"/>
  <c r="F29"/>
  <c r="G29"/>
  <c r="H29"/>
  <c r="I29"/>
  <c r="J29"/>
  <c r="K29"/>
  <c r="L29"/>
  <c r="M29"/>
  <c r="N29"/>
  <c r="C29"/>
  <c r="B7" i="12"/>
  <c r="C43" i="5"/>
  <c r="D43" s="1"/>
  <c r="C40"/>
  <c r="D40" s="1"/>
  <c r="C36"/>
  <c r="D36" s="1"/>
  <c r="A5" i="16"/>
  <c r="C4" s="1"/>
  <c r="B4"/>
  <c r="E4"/>
  <c r="C6" i="20"/>
  <c r="D6" s="1"/>
  <c r="C4"/>
  <c r="D4" s="1"/>
  <c r="D13" i="12"/>
  <c r="C9"/>
  <c r="D9" s="1"/>
  <c r="C78" i="10"/>
  <c r="D78" s="1"/>
  <c r="C73"/>
  <c r="D73" s="1"/>
  <c r="C42"/>
  <c r="E42" s="1"/>
  <c r="C17"/>
  <c r="D17" s="1"/>
  <c r="C38"/>
  <c r="D38" s="1"/>
  <c r="C40" i="7"/>
  <c r="D40" s="1"/>
  <c r="C44"/>
  <c r="D44" s="1"/>
  <c r="C50"/>
  <c r="D50" s="1"/>
  <c r="C31" i="6"/>
  <c r="D31" s="1"/>
  <c r="C29"/>
  <c r="D29" s="1"/>
  <c r="C27"/>
  <c r="D27" s="1"/>
  <c r="C25"/>
  <c r="D25" s="1"/>
  <c r="C17"/>
  <c r="D17" s="1"/>
  <c r="C14"/>
  <c r="D14" s="1"/>
  <c r="C20" i="5"/>
  <c r="D20" s="1"/>
  <c r="C11" i="4"/>
  <c r="D11" s="1"/>
  <c r="D82" i="7"/>
  <c r="G18"/>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E11" i="31" l="1"/>
  <c r="G11"/>
  <c r="G15"/>
  <c r="E15"/>
  <c r="G9"/>
  <c r="E9"/>
  <c r="G14"/>
  <c r="E14"/>
  <c r="E12"/>
  <c r="G12"/>
  <c r="D21" i="15"/>
  <c r="D25" s="1"/>
  <c r="D27" s="1"/>
  <c r="E21"/>
  <c r="E25" s="1"/>
  <c r="E27" s="1"/>
  <c r="O45" i="13"/>
  <c r="G5" i="31" s="1"/>
  <c r="O69" i="13"/>
  <c r="O70"/>
  <c r="G21" i="15"/>
  <c r="G25" s="1"/>
  <c r="G27" s="1"/>
  <c r="O12" i="13"/>
  <c r="M9" i="31" l="1"/>
  <c r="I11"/>
  <c r="P10"/>
  <c r="G27"/>
  <c r="G32" s="1"/>
  <c r="O19" s="1"/>
  <c r="I19" s="1"/>
  <c r="I12"/>
  <c r="E27"/>
  <c r="E32" s="1"/>
  <c r="C3" i="4"/>
  <c r="D3" s="1"/>
  <c r="C3" i="3"/>
  <c r="D3" s="1"/>
  <c r="O9" i="31" l="1"/>
  <c r="I9" s="1"/>
  <c r="O16"/>
  <c r="I16" s="1"/>
  <c r="O21"/>
  <c r="I21" s="1"/>
  <c r="R10"/>
  <c r="I10"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<sst xmlns="http://schemas.openxmlformats.org/spreadsheetml/2006/main" count="1189" uniqueCount="766">
  <si>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</si>
  <si>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</si>
  <si>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</si>
  <si>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</si>
  <si>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</si>
  <si>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</si>
  <si>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</si>
  <si>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</si>
  <si>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</si>
  <si>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</si>
  <si>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</si>
  <si>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</si>
  <si>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</si>
  <si>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</si>
  <si>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</si>
  <si>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</si>
  <si>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</si>
  <si>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</si>
  <si>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</si>
  <si>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</si>
  <si>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</si>
  <si>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</si>
  <si>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</si>
  <si>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</si>
  <si>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</si>
  <si>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</si>
  <si>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</si>
  <si>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</si>
  <si>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</si>
  <si>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</si>
  <si>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</si>
  <si>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</si>
  <si>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</si>
  <si>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</si>
  <si>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</si>
  <si>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</si>
  <si>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</si>
  <si>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</si>
  <si>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</si>
  <si>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</si>
  <si>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</si>
  <si>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</si>
  <si>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</si>
  <si>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</si>
  <si>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</si>
  <si>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</si>
  <si>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</si>
  <si>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</si>
  <si>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</si>
  <si>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</si>
  <si>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</si>
  <si>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</si>
  <si>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</si>
  <si>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</si>
  <si>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</si>
  <si>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</si>
  <si>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</si>
  <si>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</si>
  <si>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</si>
  <si>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</si>
  <si>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</si>
  <si>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</si>
  <si>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</si>
  <si>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</si>
  <si>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</si>
  <si>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</si>
  <si>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</si>
  <si>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</si>
  <si>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</si>
  <si>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</si>
  <si>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</si>
  <si>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</si>
  <si>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</si>
  <si>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</si>
  <si>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</si>
  <si>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</si>
  <si>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</si>
  <si>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</si>
  <si>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</si>
  <si>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</si>
  <si>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</si>
  <si>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</si>
  <si>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</si>
  <si>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</si>
  <si>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</si>
  <si>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</si>
  <si>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</si>
  <si>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</si>
  <si>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</si>
  <si>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</si>
  <si>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</si>
  <si>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</si>
  <si>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</si>
  <si>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</si>
  <si>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</si>
  <si>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</si>
  <si>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</si>
  <si>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</si>
  <si>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</si>
  <si>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</si>
  <si>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</si>
  <si>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</si>
  <si>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</si>
  <si>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</si>
  <si>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</si>
  <si>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</si>
  <si>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</si>
  <si>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</si>
  <si>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</si>
  <si>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</si>
  <si>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</si>
  <si>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</si>
  <si>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</si>
  <si>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</si>
  <si>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</si>
  <si>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</si>
  <si>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</si>
  <si>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</si>
  <si>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</si>
  <si>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</si>
  <si>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</si>
  <si>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</si>
  <si>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</si>
  <si>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</si>
  <si>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</si>
  <si>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</si>
  <si>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</si>
  <si>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</si>
  <si>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</si>
  <si>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</si>
  <si>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</si>
  <si>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</si>
  <si>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</si>
  <si>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</si>
  <si>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</si>
  <si>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</si>
  <si>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</si>
  <si>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</si>
  <si>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</si>
  <si>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</si>
  <si>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</si>
  <si>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</si>
  <si>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</si>
  <si>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</si>
  <si>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</si>
  <si>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</si>
  <si>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</si>
  <si>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</si>
  <si>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</si>
  <si>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</si>
  <si>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</si>
  <si>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</si>
  <si>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</si>
  <si>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</si>
  <si>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</si>
  <si>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</si>
  <si>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</si>
  <si>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</si>
  <si>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</si>
  <si>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</si>
  <si>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</si>
  <si>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</si>
  <si>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</si>
  <si>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</si>
  <si>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</si>
  <si>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</si>
  <si>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</si>
  <si>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</si>
  <si>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</si>
  <si>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</si>
  <si>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</si>
  <si>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</si>
  <si>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</si>
  <si>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</si>
  <si>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</si>
  <si>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</si>
  <si>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</si>
  <si>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</si>
  <si>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</si>
  <si>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</si>
  <si>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</si>
  <si>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</si>
  <si>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</si>
  <si>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</si>
  <si>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</si>
  <si>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</si>
  <si>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</si>
  <si>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</si>
  <si>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</si>
  <si>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</si>
  <si>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</si>
  <si>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</si>
  <si>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</si>
  <si>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</si>
  <si>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</si>
  <si>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</si>
  <si>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</si>
  <si>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</si>
  <si>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</si>
  <si>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</si>
  <si>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</si>
  <si>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</si>
  <si>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</si>
  <si>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</si>
  <si>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</si>
  <si>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</si>
  <si>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</si>
  <si>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</si>
  <si>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</si>
  <si>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</si>
  <si>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</si>
  <si>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</si>
  <si>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</si>
  <si>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</si>
  <si>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</si>
  <si>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</si>
  <si>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</si>
  <si>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</si>
  <si>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</si>
  <si>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</si>
  <si>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</si>
  <si>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</si>
  <si>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</si>
  <si>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</si>
  <si>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</si>
  <si>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</si>
  <si>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</si>
  <si>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</si>
  <si>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</si>
  <si>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</si>
  <si>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</si>
  <si>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</si>
  <si>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</si>
  <si>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</si>
  <si>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</si>
  <si>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</si>
  <si>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</si>
  <si>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</si>
  <si>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</si>
  <si>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</si>
  <si>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</si>
  <si>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</si>
  <si>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</si>
  <si>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</si>
  <si>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</si>
  <si>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</si>
  <si>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</si>
  <si>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</si>
  <si>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</si>
  <si>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</si>
  <si>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</si>
  <si>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</si>
  <si>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</si>
  <si>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</si>
  <si>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</si>
  <si>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</si>
  <si>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</si>
  <si>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</si>
  <si>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</si>
  <si>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</si>
  <si>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</si>
  <si>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</si>
  <si>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</si>
  <si>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</si>
  <si>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</si>
  <si>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</si>
  <si>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</si>
  <si>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</si>
  <si>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</si>
  <si>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</si>
  <si>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</si>
  <si>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</si>
  <si>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</si>
  <si>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</si>
  <si>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</si>
  <si>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</si>
  <si>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</si>
  <si>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</si>
  <si>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</si>
  <si>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</si>
  <si>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</si>
  <si>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</si>
  <si>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</si>
  <si>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</si>
  <si>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</si>
  <si>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</si>
  <si>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</si>
  <si>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</si>
  <si>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</si>
  <si>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</si>
  <si>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</si>
  <si>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</si>
  <si>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</si>
  <si>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</si>
  <si>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</si>
  <si>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</si>
  <si>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</si>
  <si>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</si>
  <si>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</si>
  <si>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</si>
  <si>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</si>
  <si>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</si>
  <si>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</si>
  <si>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</si>
  <si>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</si>
  <si>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</si>
  <si>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</si>
  <si>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</si>
  <si>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</si>
  <si>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</si>
  <si>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</si>
  <si>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</si>
  <si>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</si>
  <si>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</si>
  <si>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</si>
  <si>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</si>
  <si>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</si>
  <si>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</si>
  <si>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</si>
  <si>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</si>
  <si>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</si>
  <si>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</si>
  <si>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</si>
  <si>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</si>
  <si>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</si>
  <si>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</si>
  <si>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</si>
  <si>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</si>
  <si>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</si>
  <si>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</si>
  <si>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</si>
  <si>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</si>
  <si>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</si>
  <si>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</si>
  <si>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</si>
  <si>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</si>
  <si>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</si>
  <si>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</si>
  <si>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</si>
  <si>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</si>
  <si>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</si>
  <si>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</si>
  <si>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</si>
  <si>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</si>
  <si>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</si>
  <si>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</si>
  <si>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</si>
  <si>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</si>
  <si>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</si>
  <si>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</si>
  <si>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</si>
  <si>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</si>
  <si>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</si>
  <si>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</si>
  <si>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</si>
  <si>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</si>
  <si>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</si>
  <si>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</si>
  <si>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</si>
  <si>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</si>
  <si>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</si>
  <si>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</si>
  <si>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</si>
  <si>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</si>
  <si>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</si>
  <si>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</si>
  <si>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</si>
  <si>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</si>
  <si>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</si>
  <si>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</si>
  <si>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</si>
  <si>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</si>
  <si>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</si>
  <si>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</si>
  <si>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</si>
  <si>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</si>
  <si>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</si>
  <si>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</si>
  <si>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</si>
  <si>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</si>
  <si>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</si>
  <si>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</si>
  <si>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</si>
  <si>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</si>
  <si>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</si>
  <si>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</si>
  <si>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</si>
  <si>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</si>
  <si>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</si>
  <si>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</si>
  <si>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</si>
  <si>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</si>
  <si>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</si>
  <si>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</si>
  <si>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</si>
  <si>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</si>
  <si>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</si>
  <si>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</si>
  <si>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</si>
  <si>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</si>
  <si>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</si>
  <si>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</si>
  <si>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</si>
  <si>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</si>
  <si>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</si>
  <si>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</si>
  <si>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</si>
  <si>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</si>
  <si>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</si>
  <si>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</si>
  <si>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</si>
  <si>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</si>
  <si>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</si>
  <si>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</si>
  <si>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</si>
  <si>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</si>
  <si>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</si>
  <si>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</si>
  <si>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</si>
  <si>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</si>
  <si>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</si>
  <si>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</si>
  <si>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</si>
  <si>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</si>
  <si>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</si>
  <si>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</si>
  <si>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</si>
  <si>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</si>
  <si>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</si>
  <si>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</si>
  <si>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</si>
  <si>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</si>
  <si>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</si>
  <si>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</si>
  <si>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</si>
  <si>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</si>
  <si>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</si>
  <si>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</si>
  <si>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</si>
  <si>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</si>
  <si>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</si>
  <si>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</si>
  <si>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</si>
  <si>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</si>
  <si>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</si>
  <si>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</si>
  <si>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</si>
  <si>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</si>
  <si>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</si>
  <si>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</si>
  <si>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</si>
  <si>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</si>
  <si>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</si>
  <si>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</si>
  <si>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</si>
  <si>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</si>
  <si>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</si>
  <si>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</si>
  <si>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</si>
  <si>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</si>
  <si>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</si>
  <si>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</si>
  <si>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</si>
  <si>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</si>
  <si>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</si>
  <si>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</si>
  <si>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</si>
  <si>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</si>
  <si>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</si>
  <si>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</si>
  <si>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</si>
  <si>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</si>
  <si>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</si>
  <si>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</si>
  <si>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</si>
  <si>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</si>
  <si>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</si>
  <si>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</si>
  <si>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</si>
  <si>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</si>
  <si>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</si>
  <si>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</si>
  <si>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</si>
  <si>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</si>
  <si>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</si>
  <si>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</si>
  <si>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</si>
  <si>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</si>
  <si>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</si>
  <si>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</si>
  <si>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</si>
  <si>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</si>
  <si>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</si>
  <si>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</si>
  <si>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</si>
  <si>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</si>
  <si>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</si>
  <si>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</si>
  <si>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</si>
  <si>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</si>
  <si>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</si>
  <si>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</si>
  <si>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</si>
  <si>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</si>
  <si>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</si>
  <si>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</si>
  <si>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</si>
  <si>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</si>
  <si>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</si>
  <si>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</si>
  <si>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</si>
  <si>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</si>
  <si>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</si>
  <si>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</si>
  <si>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</si>
  <si>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</si>
  <si>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</si>
  <si>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</si>
  <si>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</si>
  <si>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</si>
  <si>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</si>
  <si>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</si>
  <si>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</si>
  <si>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</si>
  <si>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</si>
  <si>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</si>
  <si>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</si>
  <si>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</si>
  <si>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</si>
  <si>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</si>
  <si>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</si>
  <si>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</si>
  <si>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</si>
  <si>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</si>
  <si>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</si>
  <si>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</si>
  <si>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</si>
  <si>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</si>
  <si>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</si>
  <si>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</si>
  <si>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</si>
  <si>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</si>
  <si>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</si>
  <si>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</si>
  <si>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</si>
  <si>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</si>
  <si>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</si>
  <si>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</si>
  <si>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</si>
  <si>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</si>
  <si>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</si>
  <si>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</si>
  <si>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</si>
  <si>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</si>
  <si>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</si>
  <si>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</si>
  <si>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</si>
  <si>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</si>
  <si>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</si>
  <si>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</si>
  <si>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</si>
  <si>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</si>
  <si>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</si>
  <si>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</si>
  <si>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</si>
  <si>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</si>
  <si>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</si>
  <si>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</si>
  <si>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</si>
  <si>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</si>
  <si>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</si>
  <si>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</si>
  <si>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</si>
  <si>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</si>
  <si>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</si>
  <si>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</si>
  <si>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</si>
  <si>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</si>
  <si>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</si>
  <si>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</si>
  <si>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</si>
  <si>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</si>
  <si>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</si>
  <si>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</si>
  <si>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</si>
  <si>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</si>
  <si>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</si>
  <si>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</si>
  <si>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</si>
  <si>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</si>
  <si>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</si>
  <si>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</si>
  <si>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</si>
  <si>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</si>
  <si>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</si>
  <si>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</si>
  <si>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</si>
  <si>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</si>
  <si>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</si>
  <si>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</si>
  <si>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</si>
  <si>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</si>
  <si>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</si>
  <si>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</si>
  <si>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</si>
  <si>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</si>
  <si>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</si>
  <si>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</si>
  <si>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</si>
  <si>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</si>
  <si>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</si>
  <si>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</si>
  <si>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</si>
  <si>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</si>
  <si>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</si>
  <si>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</si>
  <si>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</si>
  <si>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Urbán Annamária</t>
  </si>
  <si>
    <t>097945NA</t>
  </si>
  <si>
    <t>Urbán Annamária EV</t>
  </si>
  <si>
    <t>3860 Encs, Gárdonyi Géza utca 28/d</t>
  </si>
  <si>
    <t>urbanannam1990@gmail.com</t>
  </si>
  <si>
    <t>2.  naptári   év  2019.</t>
  </si>
  <si>
    <t>2021.</t>
  </si>
  <si>
    <t>Encs, 2018.05.14.</t>
  </si>
  <si>
    <t>Megalapítandó vállalkozáshoz nem szükséges engedély.</t>
  </si>
  <si>
    <t>Vállalkozói képzéseken, tréningeken veszek részt.</t>
  </si>
  <si>
    <t>Nincsenek vállalkozói tapasztalataim.</t>
  </si>
  <si>
    <t>Rendelkezem Alkalmazott grafikusi felsőfokú szakképzettséggel. Munkahelyi tapasztalatként fel tudom sorolni, hogy dolgoztam az Encsi Városi Művelődési Központ és Könyvtárban kulturális szervezőként, ahol megismerkedtem a rendezvényszervezéssel és grafikai print anyagok szerkesztésével. Ezután a Bionica Bt.-nél dolgoztam marketing asszisztensként, ahol print anyagok szerkesztésével és online marketinggel foglalkoztam.  Grafikusként dolgoztam a Diapolo kft.-nél.</t>
  </si>
  <si>
    <t>Piaci ismertség eléréséhez hosszú időre van szükség</t>
  </si>
  <si>
    <t>Likviditási nehézségek</t>
  </si>
  <si>
    <t>Intenzív marketing kampány lebonyolítása.</t>
  </si>
  <si>
    <t>Urbán Annamária E.V.</t>
  </si>
  <si>
    <t>Hiányosak az adózási, pénzügyi ismereteim.</t>
  </si>
  <si>
    <t>3860 Encs, Gárdonyi Géza utca 28/d.</t>
  </si>
  <si>
    <t>Program ismeretem rendkívűl jó, így segít munkám során a mindennapi feladatokban. Ezek a programok: Adobe Photoshop CC, Adobe Illustrator, Adobe Indesign, Adobe Flash és Microsoft Office csomagok.</t>
  </si>
  <si>
    <t xml:space="preserve">Önálló vállalkozóként soha nem méretettem meg magam. </t>
  </si>
  <si>
    <t>webtárhely</t>
  </si>
  <si>
    <t>bérlés</t>
  </si>
  <si>
    <t>Honlap</t>
  </si>
  <si>
    <t>Vásárlás</t>
  </si>
  <si>
    <t>A megvalósítandó vállalkozásomra nem vonatkozik.</t>
  </si>
  <si>
    <t>Főállás</t>
  </si>
  <si>
    <t>Alkalmazott Grafikus OKJ</t>
  </si>
  <si>
    <t>Vállalkozó</t>
  </si>
  <si>
    <t>Könyvelő</t>
  </si>
  <si>
    <t>Vállalkozás megalapítása</t>
  </si>
  <si>
    <t>Támogatási előleg lehívása</t>
  </si>
  <si>
    <t>Szükséges eszközök beszerzése</t>
  </si>
  <si>
    <t>Szolgáltatás értékesítése</t>
  </si>
  <si>
    <t>Projekt lezárása</t>
  </si>
  <si>
    <t>Facebook, instagram</t>
  </si>
  <si>
    <t>Nem releváns.</t>
  </si>
  <si>
    <t xml:space="preserve">Miden igénynek megfelelő online megjelenés a vállalkozások számára, amelyek trendkövetőek. </t>
  </si>
  <si>
    <t>Igényes, gyors munka</t>
  </si>
  <si>
    <t>Dávid Baráth design studio</t>
  </si>
  <si>
    <t>szűk vevői kör</t>
  </si>
  <si>
    <t>Kiemelkedő, trendkövető design</t>
  </si>
  <si>
    <t>Egyedi, vevői igényekre szabott szolgáltatások.</t>
  </si>
  <si>
    <t>Fiatalosság és rugalmasság.</t>
  </si>
  <si>
    <t>Rugalmasság</t>
  </si>
  <si>
    <t>Most induló vállalkozás</t>
  </si>
  <si>
    <t xml:space="preserve">Az induláshoz szükséges tőke hiánya </t>
  </si>
  <si>
    <t>Piacra való belépés nehéz.</t>
  </si>
  <si>
    <t>Folyamatos egyedi igényre van kialakítva a szolgáltatás</t>
  </si>
  <si>
    <t>Vállalkozoi kompetenciám vezetői  kompetenciám fejlesztésre szorulnak.</t>
  </si>
  <si>
    <t>Tudatosan fejlesztem magam egyénileg és szervezett formában.</t>
  </si>
  <si>
    <t>Könyvelő, pénzügyi tanácsadó szolgáltatásának igénybevétele</t>
  </si>
  <si>
    <t>Tudatos tartalék képzés, szükség esetén hitel  felvétele.</t>
  </si>
  <si>
    <t>Negatív támogatói döntés.</t>
  </si>
  <si>
    <t>Támogatható üzletei terv benyújtása a pályázat keretén belül.</t>
  </si>
  <si>
    <t>ÖVTJ- 7410  Grafikai szolgáltatás</t>
  </si>
  <si>
    <t>A cég fő profilja az arculat tervezés(logó,névjegykártya, levélpapír) online anyagok tevezése(facebook, instagram, bannerek) és kiadványszerkesztéssel, ami magába foglalja a katalógusokat, brossurákat, könyv illusztrációk tervezését.</t>
  </si>
  <si>
    <t xml:space="preserve">Az üzleti ötletem alapját az adja, hogy a vállalatok egyre jobban szeretnék fejleszteni imázsukat. Ma már szinte  minden vállalkozás számára fontos, hogy egységes, összehangolt arculata legyen. A cég küldetése az, hogy minél több válllalat üzleti profilját megújítsa a trendeket követve.  A cég fő profilja az arculat tervezés, online anyagok tevezése (facebook, instagram, bannerek) és kiadványszerkesztés, ami magában foglalja a katalógusokat, brossurákat, könyv illusztrációk tervezését. </t>
  </si>
  <si>
    <t>A vállalkozás egy éves céljai közt szerepel a sikeres piacra való belépés. Természetesen erős marketing tervvel próbálom ezt elérni. További terv az, hogy sikeresen stabilizáljam a vállalalkozásomat a piacon.</t>
  </si>
  <si>
    <t>A vállalkozásnak a távolabbi céljai közt az egyik legfontosabb, hogy bővítsem az ügyfélkörömet.Miután ez a cél megvalósult, szolgáltatás bővítését is terevezem. (Webdesign). Szeretnék minél jobb piaci helyet pozícionálni vállalkozásom számára.</t>
  </si>
  <si>
    <t>A rövidtávú cél: stabil piaci szereplővé válás és a vállalkozásom sikeres népszerűsítése.  Középtávú céljaim egy biztos üzleti partneir kapcsolatháló kialalkítása.</t>
  </si>
  <si>
    <t xml:space="preserve">Nehezen tudom beosztani az időmet, ezért rendszeresen kések. Ha nincs inspirációm nehezen tudom motíválni magam. </t>
  </si>
  <si>
    <t>Természetesen vállalkozással, gazdálkodással, adózással és pénzügyekkel kapcsolatos ismereteim hiányosak. Szakmai hiányoságom közé sorolom a weboldal és UX design tervezést.</t>
  </si>
  <si>
    <t>Könnyen tudok kapcsolatokat létrehozni. Időbeosztásom miatt, kellően rugalmas vagyok, Igyekszem, hogy ne vállaljam túl magam.</t>
  </si>
  <si>
    <t xml:space="preserve">Nem elég jó az értekérvényesítő képességem, érdeklődésem hiányában elvesztem a motivációmat.  </t>
  </si>
  <si>
    <t>Szakmai gyakorlaton szerzett tapasztalataim hozzá segítenek a vállalkozásom sikerességéhez, ahol marketing asszisztensként dolgoztam. Grafikus tanulmányaim alatt szerzett tudásomat, nemcsak egy vállalat, hanem több vállalatnál kamatoztattam.</t>
  </si>
  <si>
    <t xml:space="preserve">Júliusban tervezem elindítani a vállalkozásomat. A szolgáltatásaimat szeretném főként saját weboldalon vagy online felületen hirdetni, ezek a következők: Facebook, instagram, youtube és olyan felületek, ahol versenytársak hirdetnek például: Behance. Miután hirdetéseimre jelentkeznek, akkor próbálom a ügyfeleim igényeit felmérni személyes beszélgetésekkel vagy ha erre nincs lehetőség, akkor kérdőívvel.A kérdőív kitöltése után felmérem az igényeket és skiccet, vázlatot készítek, ami segít az ügyfélnek a projekt elképzeléseiben. Az ügyfél számára árajánlatot készítek, ha elfogadja, írásbeli szerződést kötök. A munka végeztével szeretnék egy elégedettséget is mérni, hogy a jövőben figyeljek az esetleges hibákra és zökkenőmentesen menjen a munka. Elégedettség mérése fontos számomra, mert a partnerrel szeretnék egy hosszútávú stabil kapcsolatot felépíteni. Eszközbeszerzésem az egyik legfontosabb alappílére a vállalkozásomnak, mert egy jó számítógép nélkül nem tudom megvalósítani az ügyfelek elgondolásaitt. Asztali számítógépet szándékozom vásárolni, mert egy minőségi, szép grafikához sok tárhely kell, amít egy asztali gép memóriája tud számomra biztosítani. Mindenképpen egy szaküzletben vásárolnám meg, mert ott találok hozzáértő szakembereket. Továbbiakban tervem még képezni magam szakmailag, mert vannak még hiányos területeim, mint például: webdesign és UX design tervezés, videó vágás ( Adobe Effect program ). Fontosnak tartom szakmai tudásom fejlesztését, hisz a technika folyamatosan fejlődik és lépést kell tartanom vele (UX design mobil applikációk). Úgy érzem, ha meg van a szakmai rátermettségem a vállalkozásom elindulhat a sikeres piacra lépés felé és méltó helyet tudhatok magamnak a piacon. </t>
  </si>
  <si>
    <t>Az eszközömet/eszközeimet a Media Markt és Aqua webáruház és az emagról szeretnél megvásárolni. Természetesen mivel hiányosak az adózási ismereteim, ezért szeretnék könyvelői szolgáltatást igénybe venni.</t>
  </si>
  <si>
    <t>Piackutatásomat másodlagos kutatási forrásokból és saját megszerzett tapasztalataim alapján végeztem, felhasználtam az internet által biztosított forrásokat. Budapesten végeztem Alkalmazott Grafikusként, amely  hozzá segített ahhoz, hogy nagyobb rálátásom legyen az adott piacra.</t>
  </si>
  <si>
    <t>Napjainkban fontos a vállalatok grafikai megjelenése, egyre több rá a kereslet, ezért a piacon van egy felhúzó erő a grafikai szolgáltatásokra.</t>
  </si>
  <si>
    <t>Minden körülmények között törekszem a vevői igényekhez alkalmazkodni, egyénre nszabott szolgáltatások nyújtásával.</t>
  </si>
  <si>
    <t xml:space="preserve">Az üzleti célcsoportom célpontjai nem természetes személyek, hanem szervezeti vásárlók, vállalkozások, induló startup vállalkozások és olyan vállalkozások, akiknek tudok segíteni egy igényes brand kialakításban és egyéb online és offline marketing megjelenésében. </t>
  </si>
  <si>
    <t>Havonta szeretnék 1-3 ügyfél igényeit kielégíteni, ezek lehetnek kisebb és komplex szolgáltatások egyaránt.</t>
  </si>
  <si>
    <t xml:space="preserve"> Az én piacom gyorsulva növekvő, mert a technika is folyomatosan fejlődik és ezzel együtt a trend is változik, amik hatással vannak a cégek márkájára.</t>
  </si>
  <si>
    <t>Névjegykártya terevezés</t>
  </si>
  <si>
    <t>Nehezíti a piacra való belépést az eszközök beszerezése és a  munkabér kitermelése.</t>
  </si>
  <si>
    <t>A cég fő profilja az arculat tervezés, brand kialalkítása (logó,névjegykártya, levélpapír), online anyagok tevezése(facebook, instagram, bannerek) és kiadványszerkesztés, ami magába foglalja a katalógusokat, brossurákat, könyv illusztrációk tervezését is.</t>
  </si>
  <si>
    <t>A nyújtott kiegészítő szolgáltatás: Grafikai tervezés, tanácsadás.  Igénybe vett kiegészítő szolgáltatás: Könyvelés, telekommunikációs  és banki szolgáltatások.</t>
  </si>
  <si>
    <t>Kreatívitás</t>
  </si>
  <si>
    <t>Nagy a konkurencia</t>
  </si>
  <si>
    <t>Magas szakmai tudás</t>
  </si>
  <si>
    <t>Mindenképpen szeretnék egy független vállalkozást, mert grafikusi szakmai kreatívitásom csak így teljesedhet ki. Továbbá távoli tervem biztos megélhetést biztosítani jövőbeli családom és magam számára.</t>
  </si>
  <si>
    <t>Fontos tulajdonságom, ami engem jellemezz, hogy segítőkész vagyok. Nagyon szeretek emberekkel kommunikálni, ezért könnyen tudok kapcsolatot teremteni. Szakmámból adódóan kreatív személység vagyok.</t>
  </si>
  <si>
    <t xml:space="preserve">  3535 Miskolc, Meggyesalja utca 26. 2018.05.18.</t>
  </si>
  <si>
    <t xml:space="preserve">Dávid Baráth design </t>
  </si>
  <si>
    <t>Arculat terevezés</t>
  </si>
  <si>
    <t xml:space="preserve">Vadon design </t>
  </si>
  <si>
    <t>Logó/ embléma tervezése</t>
  </si>
  <si>
    <t>Viktor Sebők</t>
  </si>
  <si>
    <t>ÖVTJ/7410 Grafikai szolgáltatás</t>
  </si>
  <si>
    <t xml:space="preserve">Új marketing stratégia kidolgozás vagy árak csökkentése. </t>
  </si>
  <si>
    <t>Eszközromlás.</t>
  </si>
  <si>
    <t>Tartalékok felhasználása</t>
  </si>
  <si>
    <t xml:space="preserve">Erre szakosodott marketing tancsadók igénybevétele </t>
  </si>
  <si>
    <t xml:space="preserve">Marketing üzenet nem jut el a célcsoporthoz. </t>
  </si>
  <si>
    <t>Megfelelő színvonalú támogatható, megvalósítható üzleti terv benyújtása.</t>
  </si>
  <si>
    <t>Kedvezményes vállalkozói hitel felvétele</t>
  </si>
  <si>
    <t>Az induláshoz szükséges tőke hiánya.</t>
  </si>
  <si>
    <t>Likviditási problémák.</t>
  </si>
  <si>
    <t>3 db       60%</t>
  </si>
  <si>
    <t xml:space="preserve">Alapvető árpolitikai célom:                                                                                                           Minél rövidebb idő alatt ismertté válni a piacon és megszerezni egy minimális ügyfélkört. Kezdetben a versenytársaktól alacsonyabb árbevétellel szeretnék dolgozni. Amikor már a piac elfogadott, akkor fogok árat emelni. </t>
  </si>
  <si>
    <t xml:space="preserve">Az ügyfél online felületen fog megtalálni (saját weboldal, instagram, facebook, youtube, pinterest). Ha kérdés adódna, akkor a weboldalamon külön fülön tudok majd neki válaszolni, vagy a fent említett helyeken tudok választ adni a felmerülő kérdésekre. Ha az ügyfél elégedett a feltételekkel, akkor elkezdjük az együttműködést. Személyesen vagy kérdőív segítségével fogom felmérni az ügyfél igényeit. Miután ez megtörtént skiccek és vázlat formájában szemléltetem számára az előzetes terveket. Miután megbeszéltük a végleges írányt, megbeszéljük a projekt elkészülésének időpontját. A kérdőív és a személyes beszélgetés ingyenes lesz, de már a skiccek, vázlatokért szeretnék   1 darab/3500 Ft díjat felszámolni. </t>
  </si>
  <si>
    <t xml:space="preserve">Megízható minőség, egyénre szabott tervezés. A potenciális ügyfél felé mindenképpen azt szeretném közvetíteni, hogy a vállalkozás megbízható minőséggel dolgozik és azt, hogy egyidvé tehetem a grafikai megjelenésüket. Mivel egy kedves, segítőkész ember vagyok, igyekszem családbaráttá tenni a vállalkozásomat, mert szeretnék egy kötettlen beszélgetést, tárgyalást az üygféllel, ami azt közvetíti az ügyfél számára, hogy nem rászedni akarják egy gagyi szolgáltatásra. </t>
  </si>
  <si>
    <t xml:space="preserve">Mivel a célcsoport a szervezet vásárlók köre, kizárólag csak online felületen szeretnék megjelenni, ezek a következők: Saját weboldal, Facebook, Instagram, Behance, Youtube                                                                                                                                                                        </t>
  </si>
  <si>
    <t>Tervezett árbevételtől elmarad a tényleges árbevétel.</t>
  </si>
  <si>
    <t>Folyamatos tartalék képzés, külső finnanszirozási források igénybevétele</t>
  </si>
  <si>
    <t>Piaci bővítéshez szükséges  tőke hiánya.</t>
  </si>
  <si>
    <t>Az eredmény kimutatás 2021-ben, azért lesz kevesebb, mert már nincsen állami támogatás. Ennek ellenére a bevételem terveim szerint növelni szeretném. Bevételeimet a megadott szolgáltotásokból szeretném növelni mint például: arculat terevzés, online arculat tervezés. Állandó költségeim közé sorolhatom a eszközbérlést és a szolgáltatási díjakat, illetékeket.</t>
  </si>
  <si>
    <t>Munkához</t>
  </si>
  <si>
    <t>Fényképezőgép</t>
  </si>
  <si>
    <t>Munkámhoz</t>
  </si>
  <si>
    <t>Digitális Tábla</t>
  </si>
  <si>
    <t>Creative Cioud összes alkalmazása</t>
  </si>
  <si>
    <t>Grafikai tervezés során használt szoftver licencek.</t>
  </si>
  <si>
    <t>2018.07. hótol folyamatosan, havonta</t>
  </si>
  <si>
    <t xml:space="preserve">Domain regisztrácó </t>
  </si>
  <si>
    <t>tajékoztatáshoz</t>
  </si>
  <si>
    <t>vásárlás</t>
  </si>
  <si>
    <t>2018. szeptember</t>
  </si>
  <si>
    <t>2018.szeptember</t>
  </si>
  <si>
    <t>2018. augusztus</t>
  </si>
  <si>
    <t>2018. október</t>
  </si>
  <si>
    <t>1.  naptári   év  2018.</t>
  </si>
  <si>
    <t>531. sor Hatósági igazgatási, szolgáltatási díjak, illetékek (KATA)</t>
  </si>
  <si>
    <t>5299. Egyéb igénybe vett szolgáltatás (könyvelő)</t>
  </si>
  <si>
    <t>Egyéb bevételek (önerő 10%, előleg, támogatás)</t>
  </si>
  <si>
    <t>Adófizetési kötelezettség (KATA)</t>
  </si>
  <si>
    <t>2021. év</t>
  </si>
  <si>
    <t>Munkabér kifizetése, önfoglalkoztatás</t>
  </si>
  <si>
    <t>Időközi kifizetési igénylés összeállítása és benyújtása</t>
  </si>
  <si>
    <t>Kötelező tájékoztatás</t>
  </si>
  <si>
    <t>Marketing tevékenység</t>
  </si>
  <si>
    <t>Szükséges szoftverek beszerzése</t>
  </si>
  <si>
    <t>Magánszemélyként nem áll rendelkezésemre eszköz a vállalkozói evékenység végzéséhez.</t>
  </si>
  <si>
    <t>Gáz</t>
  </si>
  <si>
    <t>Általános rezsiköltség (víz, gáz, villany) nem meghatározható, mivel a vállalkozói tevékenységemet a lakhelyemen végzem, így nem határozható meg a tevékenységgel kapcsolatban használt rezsi mértéke.</t>
  </si>
  <si>
    <t>Telkommunikációs költségek</t>
  </si>
  <si>
    <t>Egyéb anyagköltség</t>
  </si>
  <si>
    <t>Marketing költség</t>
  </si>
  <si>
    <t>KATA adó</t>
  </si>
  <si>
    <t xml:space="preserve">Tervezett kiadaásaim közé tartozik az eszköz vásárlás mint például: Asztali számítógép (530 000 Ft). Ez az egyik legfontosabb eszköz a munkámhoz, mert grafikai programokhoz szükséges nagyobb teljesítményű gép, ezért indokolt  magasabb ár, mert ezeket a gépeket 250 000 Ft felett lehet megvásárolni. Továbbá szükségem van programokra, amivel gyakorlatilag készítem a grafikákat (22 047 Ft/hó). További eszköz, amit vásárolni fogok 160 000 Ft-ért tervezem fényképezőgépet. Domain és honlapra 176 000 Forintot. A bérköltséget 12 hónapon keresztül 180 500 Ft utalni. </t>
  </si>
  <si>
    <t xml:space="preserve">A piacelemzéshez felhasznált forrásaim: KSH, facebook, Instagram </t>
  </si>
  <si>
    <t>Megalapítandó vállalkozásomra nem vonatkozik</t>
  </si>
  <si>
    <t>2019.február</t>
  </si>
  <si>
    <t>Csatolva</t>
  </si>
  <si>
    <t>teljesítve</t>
  </si>
  <si>
    <t>Teljesítve</t>
  </si>
  <si>
    <t xml:space="preserve"> Számítógép</t>
  </si>
  <si>
    <t>A vezetői összefoglalómban szeretném bemutatni azt, hogy miért érdemes az én üzleti tervemet támogatásban részesíteni. Rendelkezem Alkalmazott grafikusi felsőfokú szakképzettséggel. Munkahelyi tapasztalataim: dolgoztam az Encsi Városi Művelődési Központ és Könyvtárban kulturális szervezőként, ahol megismerkedtem a rendezvényszervezéssel és grafikai print anyagok szerkesztésével. Ezután a Bionica Bt-nél dolgoztam marketing asszisztensként, ahol print anyagok szerkesztésével és online marketinggel foglalkoztam. Grafikusként dolgoztam a Diapolo kft-nél. Természetesen tisztában vagyok vele, hogy nincsenek vállalkozói tapasztalataim, de tervezem vállalkozói képzéseken, tréningeken részt venni. Valószínűleg vállalkozói tapasztalattal fejlődni fog a vállalkozói, vezetési kompetenciám, amelyek fejlesztésre szorulnak. Hiányosak az adózási, pénzügyi ismereteim, de igénybe fogok venni könyvelői szolgáltatást. A vállalkozás működését érintő potenciális veszélyforrások, amitől a legjobban tartok, hogy likviditási problémáim lesznek. Véleményem szerint megoldás lehet a problémára a tudatos tartalom képzés vagy szükség esetén hitel felvétele remélem, ezekre nem kerül sor. Kritikus tényezőnek gondolom azt, hogy a piaci ismertség eléréséhez hosszú időre van szükség, ezért intenzív marketing lehet a megoldás. A vállalkozásom fő profilja az arculattervezés (logó, névjegykártya, levélpapír) online anyagok tervezése (facebook, instagram, bannerek) és kiadványszerkesztés, ami magába foglalja a katalógusokat, brossurákat, könyv illusztrációk tervezését. A szolgáltatásaim egyedi, vevői igényekre szabott szolgáltatások. Az üzleti ötletem alapját az adja, hogy a vállalatok egyre jobban szeretnék fejleszteni image-et. Ma már szinte minden vállalkozás számára fontos, hogy egységes, összehangolt arculata legyen. A cég küldetése az, hogy minél több vállalat üzleti profilját megújítsa a trendeket követve. A program ismeretem rendkívül jók, így segít munkám során a mindennapi feladatokban. Ezek a programok: Adobe szoftver csomagok. Igyekszem kreatív és segítőkész lenni. Nagyon szeretek emberekkel kommunikálni, ezért könnyen tudok kapcsolatot teremteni. A vállalkozás területi ható tevékenységi körét észak-magyarországi régióra szeretném tenni, de későbbiekben szeretném ezt országos szintre emelni. Júliusban tervezem elindítani a vállalkozásomat. A szolgáltatásaimat szeretném főként saját weboldalon vagy online felületen hirdetni, ezek a következők: Facebook, instagram, youtube és olyan felületek, ahol versenytársak hirdetnek például: Behance. Miután hirdetéseimre jelentkeznek, akkor próbálom a ügyfeleim igényeit felmérni személyes beszélgetésekkel vagy ha erre nincs lehetőség, akkor kérdőívvel. A munka végeztével is szeretnék egy elégedettséget is mérni, mert az elégedettség mérése fontos számomra, mert a partnerrel szeretnék egy hosszútávú stabil kapcsolatot felépíteni. Szóval a rövidtávú cél: stabil piaci szereplővé válás és a vállalkozásom sikeres népszerűsítése.  Középtávú célom egy biztos üzleti partner kapcsolatháló kialakítása. A vállalkozásnak a távolabbi céljai közt az egyik legfontosabb, hogy bővítsem az ügyfélkörömet. Miután ez a cél megvalósult, szolgáltatás bővítését is tervezem (Webdesign). Szeretnék minél jobb piaci helyet pozícionálni vállalkozásom számára. Alapvető árpolitikai célom az minél rövidebb idő alatt ismertté válni a piacon és megszerezni egy minimális ügyfélkört. Kezdetben a versenytársaktól alacsonyabb árbevétellel szeretnék dolgozni. Amikor már a piac elfogadott, akkor fogok árat emelni. Valószinűleg ezért lesz tartós a kereslet, mert alacsonyabb árral dolgozok és így több ügyfelet vonzok be a vállalatomhoz. Most ismertetem az eszköz beszerzésimet. A beszerzendő számítógép konfiguráció beszerzése meghaladja a Br. 250 000 Ft-ot. Eszközbeszerzésem az egyik legfontosabb alappíllére a vállalkozásomnak, mert egy jó számítógép nélkül nem futnak a  grafikai szoftverek, amik szükségesek a munkavégzésemhez. Asztali számítógépet szándékozom vásárolni, mert egy minőségi, szép grafikához sok tárhely kell, amit egy számítógép memóriája tud számomra biztosítani. A számítógép költsége Br. 519 990 Ft és minden kereskedőnél, csak operációs rendszerrel kapható egyben. Mindenképpen szaküzletben vásárolnám meg, mert ott találok hozzáértő szakembereket. További szükséges eszközök vásárlása Creative Cloud összes alkalmazása, amelyet grafikai tervezés során használt szoftver licencek.  Szoftverek ára havonta 20 305 Ft. További eszközök közé sorolom a fényképezőgépet, ami 179 990 Ft-ba kerül és egy digitális rajztáblát. Domain regisztrációra és weblapra 176 000 forintot terveztem költeni.12 hónapra tervezem a bérköltséget, ami 180 500 Ft. Nem elszámolandóban található költségeim a könyvelői szolgáltatás havi 5000 Ft, szolgáltatási díjak 50 000 Ft, egyéb anyagköltség 5000 Ft/hó, posta/internet/telefon 10 000 Ft/hó, marketingre havonta 5000 Ft. A vállalkozásomat a 3 milliós Ft-os támogatásból szeretném megalapítani.</t>
  </si>
  <si>
    <t>http://radium.hu/asus-zen-aio-z240ic-11229.html  http://webshop.tzteam.hu/termek/asus_z240iegk_ga067t_gold/114688 https://edigital.hu/cserelheto-objektives-kompakt-milc-fenykepezogep/olympus-pen-e-pl8-fenykepezogep-kit-14-42mm-ez-objektivvel-barna-3-fele-szines-csuklopant-p470255 https://www.mall.hu/fenykepezogep-cserelheto-objektivvel/olympus-e-pl8-14-42-ez-fenykepezogep-barna?utm_source=arukereso.hu&amp;utm_medium=cse&amp;utm_campaign=EE&amp;utm_content=EE030&amp;utm_term=951062002 
http://www.mediamarkt.hu/hu/product/_olympus-e-pl8-fekete-pancake-ez-m1442-fekete-kit-1217427.html?rbtc=aru%7Cpf%7C1217427%7C%7Cp%7C%7C
  http://www.lendi.hu/termek/asus_z240iegk_ga067t_gold/114688 https://www.adobe.com/hu/creativecloud/plans.html?promoid=P3KMQYMW&amp;mv=other</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</si>
</sst>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40E]yyyy/\ mmmm;@"/>
  </numFmts>
  <fonts count="85">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s>
  <fills count="15">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ck">
        <color indexed="64"/>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cellStyleXfs>
  <cellXfs count="119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52"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164" fontId="7" fillId="5" borderId="140" xfId="0" applyNumberFormat="1" applyFont="1" applyFill="1" applyBorder="1" applyAlignment="1" applyProtection="1">
      <alignment vertical="center" wrapText="1"/>
      <protection locked="0"/>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5" xfId="0" applyFont="1" applyFill="1" applyBorder="1" applyAlignment="1">
      <alignment vertical="center" wrapText="1"/>
    </xf>
    <xf numFmtId="0" fontId="12" fillId="2" borderId="157" xfId="0" applyFont="1" applyFill="1" applyBorder="1" applyAlignment="1">
      <alignment horizontal="center" vertical="center" wrapText="1"/>
    </xf>
    <xf numFmtId="9" fontId="2" fillId="0" borderId="153" xfId="3" applyFont="1" applyFill="1" applyBorder="1" applyAlignment="1">
      <alignment horizontal="center" vertical="center"/>
    </xf>
    <xf numFmtId="9" fontId="2" fillId="0" borderId="154" xfId="3" applyFont="1" applyFill="1" applyBorder="1" applyAlignment="1">
      <alignment horizontal="center" vertical="center"/>
    </xf>
    <xf numFmtId="9" fontId="2" fillId="0" borderId="158" xfId="3" applyFont="1" applyFill="1" applyBorder="1" applyAlignment="1">
      <alignment horizontal="center" vertical="center"/>
    </xf>
    <xf numFmtId="9" fontId="2" fillId="0" borderId="156" xfId="3" applyFont="1" applyFill="1" applyBorder="1" applyAlignment="1">
      <alignment horizontal="center" vertical="center"/>
    </xf>
    <xf numFmtId="0" fontId="7" fillId="2" borderId="107" xfId="0" applyFont="1" applyFill="1" applyBorder="1" applyAlignment="1">
      <alignment vertical="center"/>
    </xf>
    <xf numFmtId="0" fontId="2" fillId="2" borderId="161"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2"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7" xfId="0" applyFont="1" applyFill="1" applyBorder="1" applyAlignment="1">
      <alignment horizontal="center" vertical="center" wrapText="1"/>
    </xf>
    <xf numFmtId="0" fontId="7" fillId="0" borderId="159"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8" xfId="0" applyNumberFormat="1" applyFont="1" applyFill="1" applyBorder="1" applyAlignment="1" applyProtection="1">
      <alignment horizontal="right" vertical="center" wrapText="1"/>
    </xf>
    <xf numFmtId="3" fontId="17" fillId="0" borderId="170" xfId="0" applyNumberFormat="1" applyFont="1" applyFill="1" applyBorder="1" applyAlignment="1">
      <alignment horizontal="right" vertical="center" wrapText="1"/>
    </xf>
    <xf numFmtId="3" fontId="17" fillId="0" borderId="169"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5"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6"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0"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5"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59"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3"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5" xfId="0" applyNumberFormat="1" applyFont="1" applyFill="1" applyBorder="1" applyAlignment="1" applyProtection="1">
      <alignment horizontal="right" vertical="center" wrapText="1"/>
      <protection locked="0"/>
    </xf>
    <xf numFmtId="3" fontId="7" fillId="0" borderId="172"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4"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2" xfId="4" applyFont="1" applyBorder="1" applyAlignment="1" applyProtection="1">
      <alignment horizontal="center" vertical="center" wrapText="1"/>
      <protection hidden="1"/>
    </xf>
    <xf numFmtId="43" fontId="75" fillId="0" borderId="182"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47" xfId="0" applyNumberFormat="1" applyFont="1" applyFill="1" applyBorder="1" applyAlignment="1" applyProtection="1">
      <alignment vertical="center" wrapText="1"/>
      <protection locked="0"/>
    </xf>
    <xf numFmtId="6" fontId="18" fillId="0" borderId="17" xfId="0" applyNumberFormat="1" applyFont="1" applyFill="1" applyBorder="1" applyAlignment="1" applyProtection="1">
      <alignment horizontal="center" vertical="center" wrapText="1"/>
      <protection locked="0"/>
    </xf>
    <xf numFmtId="0" fontId="2" fillId="5" borderId="19" xfId="0" applyFont="1" applyFill="1" applyBorder="1" applyAlignment="1">
      <alignment horizontal="center" vertical="center" wrapText="1"/>
    </xf>
    <xf numFmtId="0" fontId="7" fillId="2" borderId="183" xfId="0" applyFont="1" applyFill="1" applyBorder="1" applyAlignment="1">
      <alignment horizontal="left" vertical="center" wrapText="1" indent="1"/>
    </xf>
    <xf numFmtId="0" fontId="7" fillId="5" borderId="43" xfId="0" applyFont="1" applyFill="1" applyBorder="1" applyAlignment="1" applyProtection="1">
      <alignment vertical="center" wrapText="1"/>
      <protection locked="0"/>
    </xf>
    <xf numFmtId="0" fontId="7" fillId="2" borderId="1" xfId="0" applyFont="1" applyFill="1" applyBorder="1" applyAlignment="1">
      <alignment horizontal="left" vertical="center" wrapText="1" indent="1"/>
    </xf>
    <xf numFmtId="0" fontId="7" fillId="5" borderId="1" xfId="0"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164" fontId="7" fillId="0" borderId="138" xfId="0" applyNumberFormat="1" applyFont="1" applyFill="1" applyBorder="1" applyAlignment="1" applyProtection="1">
      <alignment vertical="center" wrapText="1"/>
      <protection locked="0"/>
    </xf>
    <xf numFmtId="164" fontId="7" fillId="0" borderId="1" xfId="0" applyNumberFormat="1" applyFont="1" applyFill="1" applyBorder="1" applyAlignment="1" applyProtection="1">
      <alignment vertical="center" wrapText="1"/>
      <protection locked="0"/>
    </xf>
    <xf numFmtId="3" fontId="7" fillId="0" borderId="184" xfId="0" applyNumberFormat="1" applyFont="1" applyFill="1" applyBorder="1" applyAlignment="1">
      <alignment horizontal="right" vertical="center" wrapText="1"/>
    </xf>
    <xf numFmtId="3" fontId="7" fillId="2" borderId="83" xfId="0" applyNumberFormat="1" applyFont="1" applyFill="1" applyBorder="1" applyAlignment="1">
      <alignment vertical="center" wrapText="1"/>
    </xf>
    <xf numFmtId="3" fontId="7" fillId="0" borderId="32" xfId="0" applyNumberFormat="1" applyFont="1" applyFill="1" applyBorder="1" applyAlignment="1" applyProtection="1">
      <alignment horizontal="right" vertical="center" wrapText="1"/>
      <protection locked="0"/>
    </xf>
    <xf numFmtId="3" fontId="7" fillId="0" borderId="34" xfId="0" applyNumberFormat="1" applyFont="1" applyFill="1" applyBorder="1" applyAlignment="1" applyProtection="1">
      <alignment horizontal="right" vertical="center" wrapText="1"/>
      <protection locked="0"/>
    </xf>
    <xf numFmtId="3" fontId="7" fillId="0" borderId="185" xfId="0" applyNumberFormat="1" applyFont="1" applyFill="1" applyBorder="1" applyAlignment="1">
      <alignment horizontal="right" vertical="center" wrapText="1"/>
    </xf>
    <xf numFmtId="3" fontId="7" fillId="0" borderId="185" xfId="0" applyNumberFormat="1" applyFont="1" applyFill="1" applyBorder="1" applyAlignment="1" applyProtection="1">
      <alignment horizontal="right" vertical="center" wrapText="1"/>
      <protection locked="0"/>
    </xf>
    <xf numFmtId="0" fontId="7" fillId="0" borderId="186"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169" fontId="24" fillId="5" borderId="49" xfId="0" applyNumberFormat="1" applyFont="1" applyFill="1" applyBorder="1" applyAlignment="1" applyProtection="1">
      <alignment horizontal="center" vertical="center" wrapText="1"/>
      <protection locked="0"/>
    </xf>
    <xf numFmtId="169" fontId="46" fillId="0" borderId="14" xfId="0" applyNumberFormat="1" applyFont="1" applyFill="1" applyBorder="1" applyAlignment="1" applyProtection="1">
      <alignment horizontal="center" vertical="center" wrapText="1"/>
      <protection locked="0"/>
    </xf>
    <xf numFmtId="169" fontId="27" fillId="0" borderId="14" xfId="0" applyNumberFormat="1" applyFont="1" applyFill="1" applyBorder="1" applyAlignment="1" applyProtection="1">
      <alignment horizontal="right" vertical="center" wrapText="1"/>
      <protection locked="0"/>
    </xf>
    <xf numFmtId="0" fontId="3" fillId="2" borderId="0" xfId="1" applyFill="1" applyAlignment="1" applyProtection="1">
      <alignmen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2" xfId="0" applyFont="1" applyFill="1" applyBorder="1" applyAlignment="1">
      <alignment horizontal="left" vertical="center" wrapText="1" indent="1"/>
    </xf>
    <xf numFmtId="0" fontId="2" fillId="2" borderId="155"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3" xfId="0" applyBorder="1"/>
    <xf numFmtId="0" fontId="2" fillId="0" borderId="58" xfId="0" applyFont="1" applyFill="1" applyBorder="1" applyAlignment="1">
      <alignment horizontal="left" vertical="center" wrapText="1" indent="2"/>
    </xf>
    <xf numFmtId="0" fontId="2" fillId="0" borderId="154"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3"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4"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59"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4"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1"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0"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1"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2"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2"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2"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cellXfs>
  <cellStyles count="10">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Százalék" xfId="3" builtinId="5"/>
  </cellStyles>
  <dxfs count="54">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53"/>
      <tableStyleElement type="headerRow" dxfId="52"/>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127001</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urbanannam199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radium.hu/asus-zen-aio-z240ic-11229.html" TargetMode="External"/><Relationship Id="rId1" Type="http://schemas.openxmlformats.org/officeDocument/2006/relationships/hyperlink" Target="http://europass.hu/europass-oneletrajz" TargetMode="External"/><Relationship Id="rId4" Type="http://schemas.openxmlformats.org/officeDocument/2006/relationships/vmlDrawing" Target="../drawings/vmlDrawing19.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61" zoomScale="60" zoomScaleNormal="60" zoomScaleSheetLayoutView="80" workbookViewId="0">
      <selection activeCell="B74" sqref="B74"/>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532</v>
      </c>
    </row>
    <row r="2" spans="1:2" ht="409.6" customHeight="1">
      <c r="B2" s="134" t="s">
        <v>417</v>
      </c>
    </row>
    <row r="3" spans="1:2" ht="75" customHeight="1">
      <c r="B3" s="329" t="s">
        <v>418</v>
      </c>
    </row>
    <row r="4" spans="1:2" ht="409.6" customHeight="1">
      <c r="B4" s="427" t="s">
        <v>536</v>
      </c>
    </row>
    <row r="5" spans="1:2" ht="292.5" customHeight="1">
      <c r="B5" s="427" t="s">
        <v>529</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5" t="s">
        <v>288</v>
      </c>
    </row>
    <row r="29" spans="1:2" ht="16.5" customHeight="1">
      <c r="B29" s="205" t="s">
        <v>376</v>
      </c>
    </row>
    <row r="30" spans="1:2" ht="16.5" customHeight="1">
      <c r="B30" s="205" t="s">
        <v>377</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terv'!H39</f>
        <v>A termelési /szolgáltatási /működési folyamat bemutatása:</v>
      </c>
    </row>
    <row r="49" spans="1:2" ht="153" customHeight="1">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1"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7" customFormat="1" ht="202.5" customHeight="1">
      <c r="A78" s="608"/>
      <c r="B78" s="611"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7" customFormat="1" ht="61.5" customHeight="1">
      <c r="A79" s="608"/>
      <c r="B79" s="611"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7" customFormat="1" ht="38.25" customHeight="1">
      <c r="A80" s="608"/>
      <c r="B80" s="611" t="str">
        <f>'10.a-Cash-flow 1. év'!P27</f>
        <v>irodai, igazgatási berendezések, felszerelések (Irodai bútor tekintetében kizárólag író- és tárgyalóasztal, szék, irattároló szekrény, polc beszerzése támogatható,)</v>
      </c>
    </row>
    <row r="81" spans="1:2" s="607" customFormat="1" ht="108" customHeight="1">
      <c r="A81" s="608"/>
      <c r="B81" s="611" t="str">
        <f>'10.a-Cash-flow 1. év'!P30</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7" customFormat="1" ht="38.25" customHeight="1">
      <c r="A82" s="608"/>
      <c r="B82" s="611" t="str">
        <f>'10.a-Cash-flow 1. év'!P33</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7" customFormat="1" ht="112.5" customHeight="1">
      <c r="A83" s="608"/>
      <c r="B83" s="611" t="str">
        <f>'10.a-Cash-flow 1. év'!P36</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7" customFormat="1" ht="44.25" customHeight="1">
      <c r="A84" s="608"/>
      <c r="B84" s="611" t="str">
        <f>'10.a-Cash-flow 1. év'!P37</f>
        <v>Vállalkozás működésének hatékonyságát javító engedélyezett képzések a tulajdonos, munkáltatók, illetve azon alkalmazottak számára, akik a képzés ideje alatt végig, igazolhatóan alkalmazotti jogviszonyban állnak.</v>
      </c>
    </row>
    <row r="85" spans="1:2" s="607" customFormat="1" ht="73.5" customHeight="1">
      <c r="A85" s="608"/>
      <c r="B85" s="611" t="str">
        <f>'10.a-Cash-flow 1. év'!P38</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7" customFormat="1" ht="44.25" customHeight="1">
      <c r="A86" s="608"/>
      <c r="B86" s="611" t="str">
        <f>'10.a-Cash-flow 1. év'!P39</f>
        <v>Szakmai megvalósításhoz kapcsolódó anyagköltség (munkakör betöltéséhez szükséges munkaruha, munkavédelmi felszerelés, továbbá egyéb, nettó 100.000 Ft egyedi beszerzési összeget el nem érő kis értékű eszköz.</v>
      </c>
    </row>
    <row r="87" spans="1:2" s="607" customFormat="1" ht="44.25" customHeight="1">
      <c r="A87" s="608"/>
      <c r="B87" s="611" t="str">
        <f>'10.a-Cash-flow 1. év'!P41</f>
        <v>Dokumentációs, irattárazási, archiválási költségek</v>
      </c>
    </row>
    <row r="88" spans="1:2" s="607" customFormat="1" ht="44.25" customHeight="1">
      <c r="A88" s="608"/>
      <c r="B88" s="611" t="str">
        <f>'10.a-Cash-flow 1. év'!P42</f>
        <v>Postai, telekommunikációs, adminisztrációs költségek,</v>
      </c>
    </row>
    <row r="89" spans="1:2" s="607" customFormat="1" ht="44.25" customHeight="1">
      <c r="A89" s="608"/>
      <c r="B89" s="611" t="str">
        <f>'10.a-Cash-flow 1. év'!P43</f>
        <v>Vállalatirányítási tevékenységek (könyvelés, bérszámfejtés) arányosított költségei</v>
      </c>
    </row>
    <row r="90" spans="1:2" s="607" customFormat="1" ht="44.25" customHeight="1">
      <c r="A90" s="608"/>
      <c r="B90" s="611" t="str">
        <f>'10.a-Cash-flow 1. év'!P44</f>
        <v>Közüzemi díjak és szolgáltatások, rezsi költségek, takarítás, hulladékgazdálkodás, őrzés.</v>
      </c>
    </row>
    <row r="91" spans="1:2" ht="160.5" customHeight="1">
      <c r="A91" s="82"/>
      <c r="B91" s="134" t="str">
        <f>'10.a-Cash-flow 1. év'!P46</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év'!P68</f>
        <v>• Körültekintően vegye figyelembe az ÁFA fizetés és visszaigénylés speciális körülményeit és határidejét!</v>
      </c>
    </row>
    <row r="93" spans="1:2" ht="53.25" customHeight="1">
      <c r="A93" s="82"/>
      <c r="B93" s="137" t="str">
        <f>'10.a-Cash-flow 1. év'!P70</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év'!P72</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319</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2" zoomScale="60" zoomScaleNormal="60" workbookViewId="0">
      <selection activeCell="D8" sqref="D8"/>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4" t="s">
        <v>419</v>
      </c>
      <c r="C2" s="725"/>
    </row>
    <row r="3" spans="2:9" ht="31.5" customHeight="1">
      <c r="B3" s="726" t="s">
        <v>533</v>
      </c>
      <c r="C3" s="726"/>
    </row>
    <row r="4" spans="2:9" ht="31.5" customHeight="1">
      <c r="B4" s="727" t="s">
        <v>535</v>
      </c>
      <c r="C4" s="727"/>
      <c r="D4" s="57"/>
      <c r="E4" s="57"/>
    </row>
    <row r="5" spans="2:9" ht="28.5" customHeight="1">
      <c r="B5" s="728" t="s">
        <v>534</v>
      </c>
      <c r="C5" s="729"/>
      <c r="I5" s="2"/>
    </row>
    <row r="6" spans="2:9" ht="165.75" customHeight="1">
      <c r="I6" s="2"/>
    </row>
    <row r="7" spans="2:9" ht="31.5" customHeight="1">
      <c r="B7" s="1" t="s">
        <v>420</v>
      </c>
      <c r="C7" s="429" t="s">
        <v>617</v>
      </c>
    </row>
    <row r="8" spans="2:9" ht="31.5" customHeight="1">
      <c r="B8" s="1" t="s">
        <v>462</v>
      </c>
      <c r="C8" s="429" t="s">
        <v>618</v>
      </c>
    </row>
    <row r="9" spans="2:9" ht="31.5" customHeight="1">
      <c r="B9" s="1" t="s">
        <v>0</v>
      </c>
      <c r="C9" s="1" t="s">
        <v>619</v>
      </c>
    </row>
    <row r="10" spans="2:9" ht="31.5" customHeight="1">
      <c r="B10" s="1" t="s">
        <v>421</v>
      </c>
      <c r="C10" s="428" t="s">
        <v>624</v>
      </c>
    </row>
    <row r="11" spans="2:9" ht="31.5" customHeight="1">
      <c r="B11" s="1"/>
      <c r="C11" s="1"/>
    </row>
    <row r="12" spans="2:9" ht="31.5" customHeight="1">
      <c r="B12" s="1"/>
      <c r="C12" s="1"/>
    </row>
    <row r="13" spans="2:9" ht="62.25" customHeight="1">
      <c r="B13" s="3" t="s">
        <v>463</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4"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0" t="s">
        <v>206</v>
      </c>
      <c r="C2" s="730"/>
      <c r="D2" s="730"/>
    </row>
    <row r="4" spans="2:4" ht="27" customHeight="1">
      <c r="B4" s="330" t="s">
        <v>241</v>
      </c>
    </row>
    <row r="5" spans="2:4" ht="27" customHeight="1">
      <c r="B5" s="68" t="s">
        <v>253</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5" t="str">
        <f>'10.b-Cash-flow 2. év'!B1:C1</f>
        <v>10.b) Cash-flow előrejelzés 2. év</v>
      </c>
      <c r="D16" s="39">
        <v>26</v>
      </c>
    </row>
    <row r="17" spans="2:4" ht="31.5" customHeight="1">
      <c r="B17" s="625"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263</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70" zoomScaleNormal="60" zoomScaleSheetLayoutView="7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1" t="s">
        <v>271</v>
      </c>
      <c r="C1" s="732"/>
      <c r="D1" s="732"/>
      <c r="E1" s="733"/>
      <c r="F1" s="75" t="s">
        <v>284</v>
      </c>
    </row>
    <row r="2" spans="1:6" ht="24.75" customHeight="1" thickBot="1">
      <c r="B2" s="734" t="s">
        <v>526</v>
      </c>
      <c r="C2" s="735"/>
      <c r="D2" s="735"/>
      <c r="E2" s="736"/>
      <c r="F2" s="111" t="s">
        <v>285</v>
      </c>
    </row>
    <row r="3" spans="1:6" ht="32.25" customHeight="1" thickBot="1">
      <c r="A3" s="180">
        <v>5000</v>
      </c>
      <c r="B3" s="108" t="s">
        <v>1</v>
      </c>
      <c r="C3" s="181">
        <f>LEN(B5)</f>
        <v>4980</v>
      </c>
      <c r="D3" s="737" t="str">
        <f>IF(C3&gt;A3,CONCATENATE("Karaktertúllépés! Kérjük, válaszát maximum ",A3," karakterben foglalja össze!"),CONCATENATE("Még beírható karakterek száma:   ",A3-C3))</f>
        <v>Még beírható karakterek száma:   20</v>
      </c>
      <c r="E3" s="738"/>
      <c r="F3" s="176"/>
    </row>
    <row r="4" spans="1:6" ht="15.75" customHeight="1" thickBot="1">
      <c r="B4" s="177"/>
      <c r="C4" s="72"/>
      <c r="D4" s="73"/>
      <c r="E4" s="178"/>
      <c r="F4" s="6"/>
    </row>
    <row r="5" spans="1:6" ht="327" customHeight="1" thickBot="1">
      <c r="B5" s="742" t="s">
        <v>764</v>
      </c>
      <c r="C5" s="743"/>
      <c r="D5" s="743"/>
      <c r="E5" s="744"/>
      <c r="F5" s="628" t="s">
        <v>530</v>
      </c>
    </row>
    <row r="6" spans="1:6" ht="321.75" customHeight="1">
      <c r="B6" s="745"/>
      <c r="C6" s="746"/>
      <c r="D6" s="746"/>
      <c r="E6" s="747"/>
      <c r="F6" s="739" t="s">
        <v>531</v>
      </c>
    </row>
    <row r="7" spans="1:6">
      <c r="B7" s="745"/>
      <c r="C7" s="746"/>
      <c r="D7" s="746"/>
      <c r="E7" s="747"/>
      <c r="F7" s="740"/>
    </row>
    <row r="8" spans="1:6">
      <c r="B8" s="745"/>
      <c r="C8" s="746"/>
      <c r="D8" s="746"/>
      <c r="E8" s="747"/>
      <c r="F8" s="740"/>
    </row>
    <row r="9" spans="1:6">
      <c r="B9" s="745"/>
      <c r="C9" s="746"/>
      <c r="D9" s="746"/>
      <c r="E9" s="747"/>
      <c r="F9" s="740"/>
    </row>
    <row r="10" spans="1:6">
      <c r="B10" s="745"/>
      <c r="C10" s="746"/>
      <c r="D10" s="746"/>
      <c r="E10" s="747"/>
      <c r="F10" s="740"/>
    </row>
    <row r="11" spans="1:6">
      <c r="B11" s="745"/>
      <c r="C11" s="746"/>
      <c r="D11" s="746"/>
      <c r="E11" s="747"/>
      <c r="F11" s="740"/>
    </row>
    <row r="12" spans="1:6">
      <c r="B12" s="745"/>
      <c r="C12" s="746"/>
      <c r="D12" s="746"/>
      <c r="E12" s="747"/>
      <c r="F12" s="740"/>
    </row>
    <row r="13" spans="1:6">
      <c r="B13" s="745"/>
      <c r="C13" s="746"/>
      <c r="D13" s="746"/>
      <c r="E13" s="747"/>
      <c r="F13" s="740"/>
    </row>
    <row r="14" spans="1:6">
      <c r="B14" s="745"/>
      <c r="C14" s="746"/>
      <c r="D14" s="746"/>
      <c r="E14" s="747"/>
      <c r="F14" s="740"/>
    </row>
    <row r="15" spans="1:6">
      <c r="B15" s="745"/>
      <c r="C15" s="746"/>
      <c r="D15" s="746"/>
      <c r="E15" s="747"/>
      <c r="F15" s="740"/>
    </row>
    <row r="16" spans="1:6">
      <c r="B16" s="745"/>
      <c r="C16" s="746"/>
      <c r="D16" s="746"/>
      <c r="E16" s="747"/>
      <c r="F16" s="740"/>
    </row>
    <row r="17" spans="2:6">
      <c r="B17" s="745"/>
      <c r="C17" s="746"/>
      <c r="D17" s="746"/>
      <c r="E17" s="747"/>
      <c r="F17" s="740"/>
    </row>
    <row r="18" spans="2:6">
      <c r="B18" s="745"/>
      <c r="C18" s="746"/>
      <c r="D18" s="746"/>
      <c r="E18" s="747"/>
      <c r="F18" s="740"/>
    </row>
    <row r="19" spans="2:6">
      <c r="B19" s="745"/>
      <c r="C19" s="746"/>
      <c r="D19" s="746"/>
      <c r="E19" s="747"/>
      <c r="F19" s="740"/>
    </row>
    <row r="20" spans="2:6" ht="15.75" thickBot="1">
      <c r="B20" s="748"/>
      <c r="C20" s="749"/>
      <c r="D20" s="749"/>
      <c r="E20" s="750"/>
      <c r="F20" s="741"/>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51"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0" activePane="bottomLeft" state="frozen"/>
      <selection activeCell="B2" sqref="B2:G2"/>
      <selection pane="bottomLeft" activeCell="D24" sqref="D24:E24"/>
    </sheetView>
  </sheetViews>
  <sheetFormatPr defaultColWidth="9.140625" defaultRowHeight="15"/>
  <cols>
    <col min="1" max="1" width="3" style="4" customWidth="1"/>
    <col min="2" max="2" width="30.28515625" style="67" customWidth="1"/>
    <col min="3" max="3" width="48.42578125" style="67" customWidth="1"/>
    <col min="4" max="4" width="22" style="67" customWidth="1"/>
    <col min="5" max="5" width="59.28515625" style="67" customWidth="1"/>
    <col min="6" max="6" width="147" style="67" customWidth="1"/>
    <col min="7" max="16384" width="9.140625" style="4"/>
  </cols>
  <sheetData>
    <row r="1" spans="1:6" ht="58.5" customHeight="1" thickBot="1">
      <c r="B1" s="763" t="s">
        <v>242</v>
      </c>
      <c r="C1" s="764"/>
      <c r="D1" s="764"/>
      <c r="E1" s="765"/>
      <c r="F1" s="179" t="s">
        <v>207</v>
      </c>
    </row>
    <row r="2" spans="1:6" ht="37.5" customHeight="1" thickBot="1">
      <c r="B2" s="766" t="s">
        <v>264</v>
      </c>
      <c r="C2" s="767"/>
      <c r="D2" s="767"/>
      <c r="E2" s="768"/>
      <c r="F2" s="112" t="s">
        <v>286</v>
      </c>
    </row>
    <row r="3" spans="1:6" ht="32.25" customHeight="1" thickBot="1">
      <c r="A3" s="230">
        <v>500</v>
      </c>
      <c r="B3" s="108" t="s">
        <v>1</v>
      </c>
      <c r="C3" s="181">
        <f>LEN(B4)</f>
        <v>52</v>
      </c>
      <c r="D3" s="737" t="str">
        <f>IF(C3&gt;A3,CONCATENATE("Karaktertúllépés! Kérjük, válaszát maximum ",A3," karakterben foglalja össze!"),CONCATENATE("Még beírható karakterek száma:   ",A3-C3))</f>
        <v>Még beírható karakterek száma:   448</v>
      </c>
      <c r="E3" s="738"/>
      <c r="F3" s="243"/>
    </row>
    <row r="4" spans="1:6" ht="169.5" customHeight="1" thickBot="1">
      <c r="B4" s="769" t="s">
        <v>625</v>
      </c>
      <c r="C4" s="770"/>
      <c r="D4" s="770"/>
      <c r="E4" s="771"/>
      <c r="F4" s="233" t="s">
        <v>208</v>
      </c>
    </row>
    <row r="5" spans="1:6" ht="13.5" customHeight="1">
      <c r="B5" s="241"/>
      <c r="C5" s="70"/>
      <c r="D5" s="70"/>
      <c r="E5" s="238"/>
      <c r="F5" s="232"/>
    </row>
    <row r="6" spans="1:6" ht="37.5" customHeight="1" thickBot="1">
      <c r="B6" s="754" t="s">
        <v>2</v>
      </c>
      <c r="C6" s="755"/>
      <c r="D6" s="755"/>
      <c r="E6" s="756"/>
      <c r="F6" s="232"/>
    </row>
    <row r="7" spans="1:6" ht="92.25" customHeight="1" thickBot="1">
      <c r="B7" s="775"/>
      <c r="C7" s="776"/>
      <c r="D7" s="776"/>
      <c r="E7" s="777"/>
      <c r="F7" s="244" t="s">
        <v>414</v>
      </c>
    </row>
    <row r="8" spans="1:6" ht="23.25" customHeight="1" thickBot="1">
      <c r="B8" s="242"/>
      <c r="C8" s="78"/>
      <c r="D8" s="778" t="s">
        <v>415</v>
      </c>
      <c r="E8" s="779"/>
      <c r="F8" s="232"/>
    </row>
    <row r="9" spans="1:6" s="45" customFormat="1" ht="40.5" customHeight="1" thickBot="1">
      <c r="B9" s="226"/>
      <c r="C9" s="780" t="s">
        <v>356</v>
      </c>
      <c r="D9" s="781"/>
      <c r="E9" s="782"/>
      <c r="F9" s="232"/>
    </row>
    <row r="10" spans="1:6" ht="44.25" customHeight="1" thickBot="1">
      <c r="B10" s="772" t="s">
        <v>3</v>
      </c>
      <c r="C10" s="773"/>
      <c r="D10" s="773"/>
      <c r="E10" s="774"/>
      <c r="F10" s="232"/>
    </row>
    <row r="11" spans="1:6" ht="38.25" customHeight="1" thickBot="1">
      <c r="A11" s="230">
        <v>500</v>
      </c>
      <c r="B11" s="108" t="s">
        <v>1</v>
      </c>
      <c r="C11" s="181">
        <f>LEN(B12)</f>
        <v>464</v>
      </c>
      <c r="D11" s="737" t="str">
        <f>IF(C11&gt;A11,CONCATENATE("Karaktertúllépés! Kérjük, válaszát maximum ",A11," karakterben foglalja össze!"),CONCATENATE("Még beírható karakterek száma:   ",A11-C11))</f>
        <v>Még beírható karakterek száma:   36</v>
      </c>
      <c r="E11" s="738"/>
      <c r="F11" s="243"/>
    </row>
    <row r="12" spans="1:6" ht="134.25" customHeight="1" thickBot="1">
      <c r="B12" s="769" t="s">
        <v>628</v>
      </c>
      <c r="C12" s="770"/>
      <c r="D12" s="770"/>
      <c r="E12" s="771"/>
      <c r="F12" s="245" t="s">
        <v>416</v>
      </c>
    </row>
    <row r="13" spans="1:6" ht="9" customHeight="1">
      <c r="B13" s="241"/>
      <c r="C13" s="70"/>
      <c r="D13" s="70"/>
      <c r="E13" s="238"/>
      <c r="F13" s="244"/>
    </row>
    <row r="14" spans="1:6" ht="28.5" customHeight="1" thickBot="1">
      <c r="B14" s="754" t="s">
        <v>7</v>
      </c>
      <c r="C14" s="755"/>
      <c r="D14" s="755"/>
      <c r="E14" s="756"/>
      <c r="F14" s="751" t="s">
        <v>265</v>
      </c>
    </row>
    <row r="15" spans="1:6" ht="27.75" customHeight="1">
      <c r="B15" s="752" t="s">
        <v>4</v>
      </c>
      <c r="C15" s="753"/>
      <c r="D15" s="753" t="s">
        <v>5</v>
      </c>
      <c r="E15" s="761"/>
      <c r="F15" s="751"/>
    </row>
    <row r="16" spans="1:6" ht="139.5" customHeight="1">
      <c r="B16" s="757" t="s">
        <v>627</v>
      </c>
      <c r="C16" s="758"/>
      <c r="D16" s="758" t="s">
        <v>626</v>
      </c>
      <c r="E16" s="762"/>
      <c r="F16" s="246" t="s">
        <v>267</v>
      </c>
    </row>
    <row r="17" spans="2:6" ht="139.5" customHeight="1">
      <c r="B17" s="757" t="s">
        <v>665</v>
      </c>
      <c r="C17" s="758"/>
      <c r="D17" s="758" t="s">
        <v>666</v>
      </c>
      <c r="E17" s="762"/>
      <c r="F17" s="246" t="s">
        <v>269</v>
      </c>
    </row>
    <row r="18" spans="2:6" ht="139.5" customHeight="1" thickBot="1">
      <c r="B18" s="759" t="s">
        <v>633</v>
      </c>
      <c r="C18" s="760"/>
      <c r="D18" s="760" t="s">
        <v>667</v>
      </c>
      <c r="E18" s="784"/>
      <c r="F18" s="247" t="s">
        <v>270</v>
      </c>
    </row>
    <row r="19" spans="2:6" ht="13.5" customHeight="1">
      <c r="B19" s="241"/>
      <c r="C19" s="70"/>
      <c r="D19" s="70"/>
      <c r="E19" s="238"/>
      <c r="F19" s="248"/>
    </row>
    <row r="20" spans="2:6" ht="28.5" customHeight="1" thickBot="1">
      <c r="B20" s="754" t="s">
        <v>6</v>
      </c>
      <c r="C20" s="755"/>
      <c r="D20" s="755"/>
      <c r="E20" s="756"/>
      <c r="F20" s="783" t="s">
        <v>257</v>
      </c>
    </row>
    <row r="21" spans="2:6" ht="33.75" customHeight="1">
      <c r="B21" s="752" t="s">
        <v>4</v>
      </c>
      <c r="C21" s="753"/>
      <c r="D21" s="753" t="s">
        <v>5</v>
      </c>
      <c r="E21" s="761"/>
      <c r="F21" s="783"/>
    </row>
    <row r="22" spans="2:6" ht="135" customHeight="1">
      <c r="B22" s="785" t="s">
        <v>630</v>
      </c>
      <c r="C22" s="786"/>
      <c r="D22" s="786" t="s">
        <v>668</v>
      </c>
      <c r="E22" s="787"/>
      <c r="F22" s="244"/>
    </row>
    <row r="23" spans="2:6" ht="135" customHeight="1">
      <c r="B23" s="757" t="s">
        <v>629</v>
      </c>
      <c r="C23" s="758"/>
      <c r="D23" s="758" t="s">
        <v>631</v>
      </c>
      <c r="E23" s="762"/>
      <c r="F23" s="249" t="s">
        <v>268</v>
      </c>
    </row>
    <row r="24" spans="2:6" ht="135" customHeight="1" thickBot="1">
      <c r="B24" s="759" t="s">
        <v>669</v>
      </c>
      <c r="C24" s="760"/>
      <c r="D24" s="760" t="s">
        <v>670</v>
      </c>
      <c r="E24" s="784"/>
      <c r="F24" s="250" t="s">
        <v>293</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50" priority="2">
      <formula>C3&gt;A3</formula>
    </cfRule>
  </conditionalFormatting>
  <conditionalFormatting sqref="D11:E11">
    <cfRule type="expression" dxfId="49"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4" zoomScale="73" zoomScaleNormal="80" zoomScaleSheetLayoutView="73" workbookViewId="0">
      <selection activeCell="G17" sqref="G17"/>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10" t="s">
        <v>243</v>
      </c>
      <c r="C1" s="811"/>
      <c r="D1" s="811"/>
      <c r="E1" s="811"/>
      <c r="F1" s="812"/>
      <c r="G1" s="179" t="s">
        <v>207</v>
      </c>
    </row>
    <row r="2" spans="1:9" ht="13.5" customHeight="1" thickBot="1">
      <c r="A2" s="4"/>
      <c r="B2" s="171"/>
      <c r="C2" s="172"/>
      <c r="D2" s="172"/>
      <c r="E2" s="172"/>
      <c r="F2" s="174"/>
      <c r="G2" s="232"/>
    </row>
    <row r="3" spans="1:9" ht="30" customHeight="1" thickBot="1">
      <c r="A3" s="4"/>
      <c r="B3" s="183" t="s">
        <v>8</v>
      </c>
      <c r="C3" s="186"/>
      <c r="D3" s="186"/>
      <c r="E3" s="186"/>
      <c r="F3" s="187"/>
      <c r="G3" s="278" t="s">
        <v>289</v>
      </c>
    </row>
    <row r="4" spans="1:9" ht="31.5" customHeight="1" thickBot="1">
      <c r="A4" s="4"/>
      <c r="B4" s="161" t="s">
        <v>9</v>
      </c>
      <c r="C4" s="791" t="s">
        <v>632</v>
      </c>
      <c r="D4" s="791"/>
      <c r="E4" s="791"/>
      <c r="F4" s="792"/>
      <c r="G4" s="143" t="s">
        <v>287</v>
      </c>
    </row>
    <row r="5" spans="1:9" ht="32.25" customHeight="1" thickBot="1">
      <c r="A5" s="4"/>
      <c r="B5" s="184" t="s">
        <v>10</v>
      </c>
      <c r="C5" s="795" t="s">
        <v>620</v>
      </c>
      <c r="D5" s="796"/>
      <c r="E5" s="796"/>
      <c r="F5" s="797"/>
      <c r="G5" s="143" t="s">
        <v>209</v>
      </c>
    </row>
    <row r="6" spans="1:9" ht="56.25" customHeight="1" thickBot="1">
      <c r="A6" s="4"/>
      <c r="B6" s="185" t="s">
        <v>11</v>
      </c>
      <c r="C6" s="798" t="s">
        <v>758</v>
      </c>
      <c r="D6" s="799"/>
      <c r="E6" s="799"/>
      <c r="F6" s="800"/>
      <c r="G6" s="143" t="s">
        <v>210</v>
      </c>
    </row>
    <row r="7" spans="1:9" ht="24" customHeight="1">
      <c r="A7" s="214" t="s">
        <v>330</v>
      </c>
      <c r="B7" s="821" t="s">
        <v>12</v>
      </c>
      <c r="C7" s="198" t="s">
        <v>330</v>
      </c>
      <c r="D7" s="808" t="s">
        <v>434</v>
      </c>
      <c r="E7" s="808"/>
      <c r="F7" s="809"/>
      <c r="G7" s="823" t="s">
        <v>360</v>
      </c>
      <c r="I7" s="85"/>
    </row>
    <row r="8" spans="1:9" ht="24" customHeight="1">
      <c r="A8" s="4"/>
      <c r="B8" s="822"/>
      <c r="C8" s="199"/>
      <c r="D8" s="835" t="s">
        <v>435</v>
      </c>
      <c r="E8" s="802"/>
      <c r="F8" s="803"/>
      <c r="G8" s="824"/>
    </row>
    <row r="9" spans="1:9" ht="24" customHeight="1">
      <c r="A9" s="4"/>
      <c r="B9" s="822"/>
      <c r="C9" s="199"/>
      <c r="D9" s="802" t="s">
        <v>432</v>
      </c>
      <c r="E9" s="802"/>
      <c r="F9" s="803"/>
      <c r="G9" s="824"/>
    </row>
    <row r="10" spans="1:9" ht="24" customHeight="1">
      <c r="A10" s="4"/>
      <c r="B10" s="822"/>
      <c r="C10" s="199"/>
      <c r="D10" s="802" t="s">
        <v>433</v>
      </c>
      <c r="E10" s="802"/>
      <c r="F10" s="803"/>
      <c r="G10" s="824"/>
    </row>
    <row r="11" spans="1:9" ht="24" customHeight="1" thickBot="1">
      <c r="A11" s="4"/>
      <c r="B11" s="820"/>
      <c r="C11" s="201"/>
      <c r="D11" s="806"/>
      <c r="E11" s="806"/>
      <c r="F11" s="807"/>
      <c r="G11" s="825"/>
    </row>
    <row r="12" spans="1:9" ht="24" customHeight="1">
      <c r="A12" s="214" t="s">
        <v>330</v>
      </c>
      <c r="B12" s="816" t="s">
        <v>240</v>
      </c>
      <c r="C12" s="198" t="s">
        <v>330</v>
      </c>
      <c r="D12" s="808" t="s">
        <v>364</v>
      </c>
      <c r="E12" s="808"/>
      <c r="F12" s="809"/>
      <c r="G12" s="823" t="s">
        <v>359</v>
      </c>
    </row>
    <row r="13" spans="1:9" ht="24" customHeight="1">
      <c r="A13" s="4"/>
      <c r="B13" s="817"/>
      <c r="C13" s="199"/>
      <c r="D13" s="802" t="s">
        <v>365</v>
      </c>
      <c r="E13" s="802"/>
      <c r="F13" s="803"/>
      <c r="G13" s="824"/>
    </row>
    <row r="14" spans="1:9" ht="24" customHeight="1">
      <c r="A14" s="4"/>
      <c r="B14" s="817"/>
      <c r="C14" s="199" t="s">
        <v>330</v>
      </c>
      <c r="D14" s="802" t="s">
        <v>366</v>
      </c>
      <c r="E14" s="802"/>
      <c r="F14" s="803"/>
      <c r="G14" s="824"/>
    </row>
    <row r="15" spans="1:9" ht="24" customHeight="1" thickBot="1">
      <c r="A15" s="4"/>
      <c r="B15" s="818"/>
      <c r="C15" s="200"/>
      <c r="D15" s="804" t="s">
        <v>367</v>
      </c>
      <c r="E15" s="804"/>
      <c r="F15" s="805"/>
      <c r="G15" s="825"/>
    </row>
    <row r="16" spans="1:9" ht="76.5" customHeight="1" thickBot="1">
      <c r="A16" s="4"/>
      <c r="B16" s="161" t="s">
        <v>25</v>
      </c>
      <c r="C16" s="832" t="s">
        <v>671</v>
      </c>
      <c r="D16" s="833"/>
      <c r="E16" s="833"/>
      <c r="F16" s="834"/>
      <c r="G16" s="285" t="s">
        <v>431</v>
      </c>
    </row>
    <row r="17" spans="1:9" ht="122.25" customHeight="1" thickBot="1">
      <c r="A17" s="4"/>
      <c r="B17" s="819" t="s">
        <v>26</v>
      </c>
      <c r="C17" s="742" t="s">
        <v>758</v>
      </c>
      <c r="D17" s="743"/>
      <c r="E17" s="743"/>
      <c r="F17" s="744"/>
      <c r="G17" s="285" t="s">
        <v>358</v>
      </c>
    </row>
    <row r="18" spans="1:9" ht="17.25" customHeight="1" thickBot="1">
      <c r="A18" s="4"/>
      <c r="B18" s="820"/>
      <c r="C18" s="748"/>
      <c r="D18" s="749"/>
      <c r="E18" s="749"/>
      <c r="F18" s="750"/>
      <c r="G18" s="286" t="s">
        <v>288</v>
      </c>
    </row>
    <row r="19" spans="1:9" ht="17.25" customHeight="1" thickBot="1">
      <c r="A19" s="4"/>
      <c r="B19" s="279"/>
      <c r="C19" s="280"/>
      <c r="D19" s="280"/>
      <c r="E19" s="280"/>
      <c r="F19" s="289"/>
      <c r="G19" s="287" t="s">
        <v>376</v>
      </c>
    </row>
    <row r="20" spans="1:9" ht="36" customHeight="1" thickBot="1">
      <c r="A20" s="230">
        <v>250</v>
      </c>
      <c r="B20" s="46" t="s">
        <v>1</v>
      </c>
      <c r="C20" s="146">
        <f>LEN(C21)</f>
        <v>233</v>
      </c>
      <c r="D20" s="737" t="str">
        <f>IF(C20&gt;A20,CONCATENATE("Karaktertúllépés! Kérjük, válaszát maximum ",A20," karakterben foglalja össze!"),CONCATENATE("Még beírható karakterek száma:   ",A20-C20))</f>
        <v>Még beírható karakterek száma:   17</v>
      </c>
      <c r="E20" s="801"/>
      <c r="F20" s="738"/>
      <c r="G20" s="288" t="s">
        <v>377</v>
      </c>
    </row>
    <row r="21" spans="1:9" ht="72.75" customHeight="1" thickBot="1">
      <c r="A21" s="4"/>
      <c r="B21" s="161" t="s">
        <v>320</v>
      </c>
      <c r="C21" s="788" t="s">
        <v>672</v>
      </c>
      <c r="D21" s="789"/>
      <c r="E21" s="789"/>
      <c r="F21" s="790"/>
      <c r="G21" s="143" t="s">
        <v>20</v>
      </c>
    </row>
    <row r="22" spans="1:9" ht="21.75" customHeight="1">
      <c r="A22" s="214" t="s">
        <v>330</v>
      </c>
      <c r="B22" s="813" t="s">
        <v>374</v>
      </c>
      <c r="C22" s="198"/>
      <c r="D22" s="808" t="s">
        <v>368</v>
      </c>
      <c r="E22" s="808"/>
      <c r="F22" s="809"/>
      <c r="G22" s="823" t="s">
        <v>357</v>
      </c>
      <c r="I22" s="85"/>
    </row>
    <row r="23" spans="1:9" ht="21.75" customHeight="1">
      <c r="A23" s="4"/>
      <c r="B23" s="814"/>
      <c r="C23" s="199"/>
      <c r="D23" s="802" t="s">
        <v>373</v>
      </c>
      <c r="E23" s="802"/>
      <c r="F23" s="803"/>
      <c r="G23" s="824"/>
    </row>
    <row r="24" spans="1:9" ht="21.75" customHeight="1">
      <c r="A24" s="4"/>
      <c r="B24" s="814"/>
      <c r="C24" s="199" t="s">
        <v>330</v>
      </c>
      <c r="D24" s="802" t="s">
        <v>369</v>
      </c>
      <c r="E24" s="802"/>
      <c r="F24" s="803"/>
      <c r="G24" s="824"/>
    </row>
    <row r="25" spans="1:9" ht="21.75" customHeight="1">
      <c r="A25" s="4"/>
      <c r="B25" s="814"/>
      <c r="C25" s="199"/>
      <c r="D25" s="802" t="s">
        <v>370</v>
      </c>
      <c r="E25" s="802"/>
      <c r="F25" s="803"/>
      <c r="G25" s="824"/>
    </row>
    <row r="26" spans="1:9" ht="21.75" customHeight="1">
      <c r="A26" s="4"/>
      <c r="B26" s="814"/>
      <c r="C26" s="199"/>
      <c r="D26" s="802" t="s">
        <v>371</v>
      </c>
      <c r="E26" s="802"/>
      <c r="F26" s="803"/>
      <c r="G26" s="824"/>
    </row>
    <row r="27" spans="1:9" ht="21.75" customHeight="1" thickBot="1">
      <c r="A27" s="4"/>
      <c r="B27" s="815"/>
      <c r="C27" s="200"/>
      <c r="D27" s="804" t="s">
        <v>372</v>
      </c>
      <c r="E27" s="804"/>
      <c r="F27" s="805"/>
      <c r="G27" s="825"/>
    </row>
    <row r="28" spans="1:9" ht="12" customHeight="1">
      <c r="A28" s="4"/>
      <c r="B28" s="279"/>
      <c r="C28" s="280"/>
      <c r="D28" s="280"/>
      <c r="E28" s="280"/>
      <c r="F28" s="289"/>
      <c r="G28" s="233"/>
    </row>
    <row r="29" spans="1:9" ht="21" customHeight="1" thickBot="1">
      <c r="A29" s="4"/>
      <c r="B29" s="281" t="s">
        <v>13</v>
      </c>
      <c r="C29" s="280"/>
      <c r="D29" s="280"/>
      <c r="E29" s="280"/>
      <c r="F29" s="289"/>
      <c r="G29" s="232"/>
    </row>
    <row r="30" spans="1:9" ht="34.5" customHeight="1" thickBot="1">
      <c r="A30" s="4"/>
      <c r="B30" s="161"/>
      <c r="C30" s="830" t="s">
        <v>14</v>
      </c>
      <c r="D30" s="831"/>
      <c r="E30" s="88" t="s">
        <v>22</v>
      </c>
      <c r="F30" s="223" t="s">
        <v>21</v>
      </c>
      <c r="G30" s="823" t="s">
        <v>212</v>
      </c>
    </row>
    <row r="31" spans="1:9" ht="47.25" customHeight="1" thickBot="1">
      <c r="A31" s="4"/>
      <c r="B31" s="185" t="s">
        <v>15</v>
      </c>
      <c r="C31" s="793" t="s">
        <v>617</v>
      </c>
      <c r="D31" s="794"/>
      <c r="E31" s="138">
        <v>1</v>
      </c>
      <c r="F31" s="139">
        <v>1</v>
      </c>
      <c r="G31" s="824"/>
    </row>
    <row r="32" spans="1:9" ht="47.25" customHeight="1" thickBot="1">
      <c r="A32" s="4"/>
      <c r="B32" s="185" t="s">
        <v>16</v>
      </c>
      <c r="C32" s="826"/>
      <c r="D32" s="827"/>
      <c r="E32" s="138"/>
      <c r="F32" s="139"/>
      <c r="G32" s="824"/>
    </row>
    <row r="33" spans="1:7" ht="47.25" customHeight="1" thickBot="1">
      <c r="A33" s="4"/>
      <c r="B33" s="184" t="s">
        <v>17</v>
      </c>
      <c r="C33" s="828"/>
      <c r="D33" s="829"/>
      <c r="E33" s="140"/>
      <c r="F33" s="141"/>
      <c r="G33" s="825"/>
    </row>
    <row r="34" spans="1:7" s="142" customFormat="1" ht="11.25" customHeight="1">
      <c r="A34" s="182"/>
      <c r="B34" s="282"/>
      <c r="C34" s="283"/>
      <c r="D34" s="283"/>
      <c r="E34" s="283"/>
      <c r="F34" s="290"/>
      <c r="G34" s="284"/>
    </row>
    <row r="35" spans="1:7" ht="25.5" customHeight="1" thickBot="1">
      <c r="A35" s="4"/>
      <c r="B35" s="281" t="s">
        <v>18</v>
      </c>
      <c r="C35" s="280"/>
      <c r="D35" s="280"/>
      <c r="E35" s="280"/>
      <c r="F35" s="289"/>
      <c r="G35" s="233"/>
    </row>
    <row r="36" spans="1:7" ht="33.75" customHeight="1" thickBot="1">
      <c r="A36" s="230">
        <v>500</v>
      </c>
      <c r="B36" s="46" t="s">
        <v>1</v>
      </c>
      <c r="C36" s="146">
        <f>LEN(C37)</f>
        <v>491</v>
      </c>
      <c r="D36" s="737" t="str">
        <f>IF(C36&gt;A36,CONCATENATE("Karaktertúllépés! Kérjük, válaszát maximum ",A36," karakterben foglalja össze!"),CONCATENATE("Még beírható karakterek száma:   ",A36-C36))</f>
        <v>Még beírható karakterek száma:   9</v>
      </c>
      <c r="E36" s="801"/>
      <c r="F36" s="738"/>
      <c r="G36" s="143"/>
    </row>
    <row r="37" spans="1:7" ht="144" customHeight="1" thickBot="1">
      <c r="A37" s="4"/>
      <c r="B37" s="161" t="s">
        <v>23</v>
      </c>
      <c r="C37" s="769" t="s">
        <v>673</v>
      </c>
      <c r="D37" s="770"/>
      <c r="E37" s="770"/>
      <c r="F37" s="771"/>
      <c r="G37" s="143" t="s">
        <v>211</v>
      </c>
    </row>
    <row r="38" spans="1:7" ht="15.75">
      <c r="A38" s="4"/>
      <c r="B38" s="279"/>
      <c r="C38" s="280"/>
      <c r="D38" s="280"/>
      <c r="E38" s="280"/>
      <c r="F38" s="289"/>
      <c r="G38" s="232"/>
    </row>
    <row r="39" spans="1:7" ht="21" thickBot="1">
      <c r="A39" s="4"/>
      <c r="B39" s="281" t="s">
        <v>19</v>
      </c>
      <c r="C39" s="280"/>
      <c r="D39" s="280"/>
      <c r="E39" s="280"/>
      <c r="F39" s="289"/>
      <c r="G39" s="232"/>
    </row>
    <row r="40" spans="1:7" ht="30.75" customHeight="1" thickBot="1">
      <c r="A40" s="230">
        <v>250</v>
      </c>
      <c r="B40" s="46" t="s">
        <v>1</v>
      </c>
      <c r="C40" s="146">
        <f>LEN(C41)</f>
        <v>208</v>
      </c>
      <c r="D40" s="737" t="str">
        <f>IF(C40&gt;A40,CONCATENATE("Karaktertúllépés! Kérjük, válaszát maximum ",A40," karakterben foglalja össze!"),CONCATENATE("Még beírható karakterek száma:   ",A40-C40))</f>
        <v>Még beírható karakterek száma:   42</v>
      </c>
      <c r="E40" s="801"/>
      <c r="F40" s="738"/>
      <c r="G40" s="143"/>
    </row>
    <row r="41" spans="1:7" ht="122.25" customHeight="1" thickBot="1">
      <c r="A41" s="4"/>
      <c r="B41" s="161" t="s">
        <v>273</v>
      </c>
      <c r="C41" s="769" t="s">
        <v>674</v>
      </c>
      <c r="D41" s="770"/>
      <c r="E41" s="770"/>
      <c r="F41" s="771"/>
      <c r="G41" s="143" t="s">
        <v>272</v>
      </c>
    </row>
    <row r="42" spans="1:7" ht="21" thickBot="1">
      <c r="A42" s="4"/>
      <c r="B42" s="281"/>
      <c r="C42" s="280"/>
      <c r="D42" s="280"/>
      <c r="E42" s="280"/>
      <c r="F42" s="289"/>
      <c r="G42" s="233"/>
    </row>
    <row r="43" spans="1:7" ht="30.75" customHeight="1" thickBot="1">
      <c r="A43" s="230">
        <v>250</v>
      </c>
      <c r="B43" s="46" t="s">
        <v>1</v>
      </c>
      <c r="C43" s="146">
        <f>LEN(C44)</f>
        <v>243</v>
      </c>
      <c r="D43" s="737" t="str">
        <f>IF(C43&gt;A43,CONCATENATE("Karaktertúllépés! Kérjük, válaszát maximum ",A43," karakterben foglalja össze!"),CONCATENATE("Még beírható karakterek száma:   ",A43-C43))</f>
        <v>Még beírható karakterek száma:   7</v>
      </c>
      <c r="E43" s="801"/>
      <c r="F43" s="738"/>
      <c r="G43" s="143"/>
    </row>
    <row r="44" spans="1:7" ht="126.75" customHeight="1" thickBot="1">
      <c r="A44" s="4"/>
      <c r="B44" s="161" t="s">
        <v>24</v>
      </c>
      <c r="C44" s="769" t="s">
        <v>675</v>
      </c>
      <c r="D44" s="770"/>
      <c r="E44" s="770"/>
      <c r="F44" s="771"/>
      <c r="G44" s="143" t="s">
        <v>389</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48" priority="14">
      <formula>C56&gt;A56</formula>
    </cfRule>
  </conditionalFormatting>
  <conditionalFormatting sqref="D20">
    <cfRule type="expression" dxfId="47" priority="15">
      <formula>C20&gt;A20</formula>
    </cfRule>
  </conditionalFormatting>
  <conditionalFormatting sqref="D36">
    <cfRule type="expression" dxfId="46" priority="4">
      <formula>C36&gt;A36</formula>
    </cfRule>
  </conditionalFormatting>
  <conditionalFormatting sqref="D40">
    <cfRule type="expression" dxfId="45" priority="3">
      <formula>C40&gt;A40</formula>
    </cfRule>
  </conditionalFormatting>
  <conditionalFormatting sqref="D43">
    <cfRule type="expression" dxfId="44"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17" zoomScale="71" zoomScaleNormal="70" zoomScaleSheetLayoutView="71"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36" t="s">
        <v>244</v>
      </c>
      <c r="C1" s="732"/>
      <c r="D1" s="732"/>
      <c r="E1" s="733"/>
      <c r="F1" s="179"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1" t="s">
        <v>27</v>
      </c>
      <c r="C2" s="90"/>
      <c r="D2" s="90"/>
      <c r="E2" s="252"/>
      <c r="F2" s="112" t="s">
        <v>289</v>
      </c>
    </row>
    <row r="3" spans="1:16329" ht="57" customHeight="1" thickBot="1">
      <c r="B3" s="98" t="s">
        <v>28</v>
      </c>
      <c r="C3" s="837" t="s">
        <v>617</v>
      </c>
      <c r="D3" s="843"/>
      <c r="E3" s="838"/>
      <c r="F3" s="855" t="s">
        <v>361</v>
      </c>
    </row>
    <row r="4" spans="1:16329" ht="50.25" customHeight="1" thickBot="1">
      <c r="B4" s="84" t="s">
        <v>321</v>
      </c>
      <c r="C4" s="844">
        <v>33207</v>
      </c>
      <c r="D4" s="843"/>
      <c r="E4" s="838"/>
      <c r="F4" s="856"/>
    </row>
    <row r="5" spans="1:16329" ht="53.25" customHeight="1" thickBot="1">
      <c r="B5" s="84" t="s">
        <v>322</v>
      </c>
      <c r="C5" s="837">
        <v>8452581017</v>
      </c>
      <c r="D5" s="843"/>
      <c r="E5" s="838"/>
      <c r="F5" s="856"/>
    </row>
    <row r="6" spans="1:16329" ht="33" customHeight="1" thickBot="1">
      <c r="B6" s="84" t="s">
        <v>29</v>
      </c>
      <c r="C6" s="837" t="s">
        <v>634</v>
      </c>
      <c r="D6" s="843"/>
      <c r="E6" s="838"/>
      <c r="F6" s="856"/>
    </row>
    <row r="7" spans="1:16329" ht="33" customHeight="1" thickBot="1">
      <c r="B7" s="84" t="s">
        <v>30</v>
      </c>
      <c r="C7" s="845" t="s">
        <v>621</v>
      </c>
      <c r="D7" s="843"/>
      <c r="E7" s="838"/>
      <c r="F7" s="856"/>
    </row>
    <row r="8" spans="1:16329" ht="33" customHeight="1" thickBot="1">
      <c r="B8" s="84" t="s">
        <v>31</v>
      </c>
      <c r="C8" s="837">
        <v>6703795750</v>
      </c>
      <c r="D8" s="843"/>
      <c r="E8" s="838"/>
      <c r="F8" s="93"/>
    </row>
    <row r="9" spans="1:16329" ht="54.75" customHeight="1" thickBot="1">
      <c r="B9" s="84" t="s">
        <v>32</v>
      </c>
      <c r="C9" s="837" t="s">
        <v>699</v>
      </c>
      <c r="D9" s="843"/>
      <c r="E9" s="838"/>
      <c r="F9" s="93"/>
    </row>
    <row r="10" spans="1:16329" ht="9" customHeight="1" thickBot="1">
      <c r="B10" s="239"/>
      <c r="C10" s="224"/>
      <c r="D10" s="224"/>
      <c r="E10" s="225"/>
      <c r="F10" s="93"/>
    </row>
    <row r="11" spans="1:16329" ht="36" customHeight="1" thickBot="1">
      <c r="B11" s="251" t="s">
        <v>33</v>
      </c>
      <c r="C11" s="90"/>
      <c r="D11" s="90"/>
      <c r="E11" s="252"/>
      <c r="F11" s="93"/>
    </row>
    <row r="12" spans="1:16329" ht="36" customHeight="1" thickBot="1">
      <c r="B12" s="84" t="s">
        <v>28</v>
      </c>
      <c r="C12" s="837" t="str">
        <f>C3</f>
        <v>Urbán Annamária</v>
      </c>
      <c r="D12" s="843"/>
      <c r="E12" s="838"/>
      <c r="F12" s="143" t="s">
        <v>213</v>
      </c>
    </row>
    <row r="13" spans="1:16329" ht="18" customHeight="1" thickBot="1">
      <c r="B13" s="240"/>
      <c r="C13" s="70"/>
      <c r="D13" s="70"/>
      <c r="E13" s="238"/>
      <c r="F13" s="93"/>
    </row>
    <row r="14" spans="1:16329" ht="32.25" customHeight="1" thickBot="1">
      <c r="A14" s="230">
        <v>250</v>
      </c>
      <c r="B14" s="46" t="s">
        <v>1</v>
      </c>
      <c r="C14" s="181">
        <f>LEN(C15)</f>
        <v>201</v>
      </c>
      <c r="D14" s="846" t="str">
        <f>IF(C14&gt;A14,CONCATENATE("Karaktertúllépés! Kérjük, válaszát maximum ",A14," karakterben foglalja össze!"),CONCATENATE("Még beírható karakterek száma:   ",A14-C14))</f>
        <v>Még beírható karakterek száma:   49</v>
      </c>
      <c r="E14" s="847"/>
      <c r="F14" s="93"/>
    </row>
    <row r="15" spans="1:16329" ht="84" customHeight="1" thickBot="1">
      <c r="B15" s="84" t="s">
        <v>274</v>
      </c>
      <c r="C15" s="837" t="s">
        <v>697</v>
      </c>
      <c r="D15" s="843"/>
      <c r="E15" s="838"/>
      <c r="F15" s="93"/>
    </row>
    <row r="16" spans="1:16329" ht="18" customHeight="1" thickBot="1">
      <c r="B16" s="234"/>
      <c r="C16" s="70"/>
      <c r="D16" s="70"/>
      <c r="E16" s="238"/>
      <c r="F16" s="93"/>
    </row>
    <row r="17" spans="1:6" ht="32.25" customHeight="1" thickBot="1">
      <c r="A17" s="230">
        <v>250</v>
      </c>
      <c r="B17" s="46" t="s">
        <v>1</v>
      </c>
      <c r="C17" s="181">
        <f>LEN(C18)</f>
        <v>163</v>
      </c>
      <c r="D17" s="846" t="str">
        <f>IF(C17&gt;A17,CONCATENATE("Karaktertúllépés! Kérjük, válaszát maximum ",A17," karakterben foglalja össze!"),CONCATENATE("Még beírható karakterek száma:   ",A17-C17))</f>
        <v>Még beírható karakterek száma:   87</v>
      </c>
      <c r="E17" s="847"/>
      <c r="F17" s="93"/>
    </row>
    <row r="18" spans="1:6" ht="101.25" customHeight="1" thickBot="1">
      <c r="B18" s="98" t="s">
        <v>38</v>
      </c>
      <c r="C18" s="837" t="s">
        <v>676</v>
      </c>
      <c r="D18" s="843"/>
      <c r="E18" s="838"/>
      <c r="F18" s="93"/>
    </row>
    <row r="19" spans="1:6" ht="13.5" customHeight="1" thickBot="1">
      <c r="B19" s="234"/>
      <c r="C19" s="70"/>
      <c r="D19" s="70"/>
      <c r="E19" s="238"/>
      <c r="F19" s="93"/>
    </row>
    <row r="20" spans="1:6" ht="42" customHeight="1">
      <c r="B20" s="841" t="s">
        <v>34</v>
      </c>
      <c r="C20" s="703" t="s">
        <v>235</v>
      </c>
      <c r="D20" s="753" t="s">
        <v>623</v>
      </c>
      <c r="E20" s="761"/>
      <c r="F20" s="93"/>
    </row>
    <row r="21" spans="1:6" ht="42" customHeight="1" thickBot="1">
      <c r="B21" s="842"/>
      <c r="C21" s="519">
        <v>2166000</v>
      </c>
      <c r="D21" s="853">
        <v>2166000</v>
      </c>
      <c r="E21" s="854"/>
      <c r="F21" s="93"/>
    </row>
    <row r="22" spans="1:6" ht="27" customHeight="1" thickBot="1">
      <c r="B22" s="234"/>
      <c r="C22" s="70"/>
      <c r="D22" s="70"/>
      <c r="E22" s="238"/>
      <c r="F22" s="93"/>
    </row>
    <row r="23" spans="1:6" ht="25.5" customHeight="1" thickBot="1">
      <c r="B23" s="251" t="s">
        <v>35</v>
      </c>
      <c r="C23" s="90"/>
      <c r="D23" s="90"/>
      <c r="E23" s="252"/>
      <c r="F23" s="848" t="s">
        <v>276</v>
      </c>
    </row>
    <row r="24" spans="1:6" ht="45" customHeight="1" thickBot="1">
      <c r="B24" s="102"/>
      <c r="C24" s="116" t="s">
        <v>36</v>
      </c>
      <c r="D24" s="839" t="s">
        <v>37</v>
      </c>
      <c r="E24" s="840"/>
      <c r="F24" s="849"/>
    </row>
    <row r="25" spans="1:6" ht="45" customHeight="1" thickBot="1">
      <c r="A25" s="230">
        <v>500</v>
      </c>
      <c r="B25" s="46" t="s">
        <v>1</v>
      </c>
      <c r="C25" s="181">
        <f>LEN(C26)+LEN(D26)</f>
        <v>309</v>
      </c>
      <c r="D25" s="846" t="str">
        <f>IF(C25&gt;A25,CONCATENATE("Karaktertúllépés! Kérjük, válaszát maximum ",A25," karakterben foglalja össze!"),CONCATENATE("Még beírható karakterek száma:   ",A25-C25))</f>
        <v>Még beírható karakterek száma:   191</v>
      </c>
      <c r="E25" s="847"/>
      <c r="F25" s="277" t="s">
        <v>265</v>
      </c>
    </row>
    <row r="26" spans="1:6" s="69" customFormat="1" ht="157.5" customHeight="1" thickBot="1">
      <c r="B26" s="103" t="s">
        <v>231</v>
      </c>
      <c r="C26" s="222" t="s">
        <v>698</v>
      </c>
      <c r="D26" s="837" t="s">
        <v>677</v>
      </c>
      <c r="E26" s="838"/>
      <c r="F26" s="249" t="s">
        <v>266</v>
      </c>
    </row>
    <row r="27" spans="1:6" ht="27.75" customHeight="1" thickBot="1">
      <c r="A27" s="230">
        <v>500</v>
      </c>
      <c r="B27" s="46" t="s">
        <v>1</v>
      </c>
      <c r="C27" s="181">
        <f>LEN(C28)+LEN(D28)</f>
        <v>369</v>
      </c>
      <c r="D27" s="846" t="str">
        <f>IF(C27&gt;A27,CONCATENATE("Karaktertúllépés! Kérjük, válaszát maximum ",A27," karakterben foglalja össze!"),CONCATENATE("Még beírható karakterek száma:   ",A27-C27))</f>
        <v>Még beírható karakterek száma:   131</v>
      </c>
      <c r="E27" s="847"/>
      <c r="F27" s="232"/>
    </row>
    <row r="28" spans="1:6" s="69" customFormat="1" ht="160.5" customHeight="1" thickBot="1">
      <c r="B28" s="103" t="s">
        <v>232</v>
      </c>
      <c r="C28" s="222" t="s">
        <v>635</v>
      </c>
      <c r="D28" s="837" t="s">
        <v>678</v>
      </c>
      <c r="E28" s="838"/>
      <c r="F28" s="246" t="s">
        <v>275</v>
      </c>
    </row>
    <row r="29" spans="1:6" ht="27.75" customHeight="1" thickBot="1">
      <c r="A29" s="230">
        <v>500</v>
      </c>
      <c r="B29" s="46" t="s">
        <v>1</v>
      </c>
      <c r="C29" s="181">
        <f>LEN(C30)+LEN(D30)</f>
        <v>219</v>
      </c>
      <c r="D29" s="846" t="str">
        <f>IF(C29&gt;A29,CONCATENATE("Karaktertúllépés! Kérjük, válaszát maximum ",A29," karakterben foglalja össze!"),CONCATENATE("Még beírható karakterek száma:   ",A29-C29))</f>
        <v>Még beírható karakterek száma:   281</v>
      </c>
      <c r="E29" s="847"/>
      <c r="F29" s="232"/>
    </row>
    <row r="30" spans="1:6" s="69" customFormat="1" ht="147.75" customHeight="1" thickBot="1">
      <c r="B30" s="103" t="s">
        <v>234</v>
      </c>
      <c r="C30" s="222" t="s">
        <v>679</v>
      </c>
      <c r="D30" s="837" t="s">
        <v>680</v>
      </c>
      <c r="E30" s="838"/>
      <c r="F30" s="246" t="s">
        <v>402</v>
      </c>
    </row>
    <row r="31" spans="1:6" ht="24.75" customHeight="1" thickBot="1">
      <c r="A31" s="230">
        <v>500</v>
      </c>
      <c r="B31" s="46" t="s">
        <v>1</v>
      </c>
      <c r="C31" s="181">
        <f>LEN(C32)+LEN(D32)</f>
        <v>294</v>
      </c>
      <c r="D31" s="846" t="str">
        <f>IF(C31&gt;A31,CONCATENATE("Karaktertúllépés! Kérjük, válaszát maximum ",A31," karakterben foglalja össze!"),CONCATENATE("Még beírható karakterek száma:   ",A31-C31))</f>
        <v>Még beírható karakterek száma:   206</v>
      </c>
      <c r="E31" s="847"/>
      <c r="F31" s="232"/>
    </row>
    <row r="32" spans="1:6" s="69" customFormat="1" ht="150.75" customHeight="1" thickBot="1">
      <c r="B32" s="103" t="s">
        <v>233</v>
      </c>
      <c r="C32" s="222" t="s">
        <v>681</v>
      </c>
      <c r="D32" s="837" t="s">
        <v>636</v>
      </c>
      <c r="E32" s="838"/>
      <c r="F32" s="250" t="s">
        <v>403</v>
      </c>
    </row>
    <row r="33" spans="2:6" ht="18.75" customHeight="1">
      <c r="B33" s="86"/>
    </row>
    <row r="34" spans="2:6" ht="11.25" hidden="1" customHeight="1">
      <c r="B34" s="86"/>
    </row>
    <row r="35" spans="2:6" ht="44.25" hidden="1" customHeight="1" thickBot="1">
      <c r="B35" s="852" t="s">
        <v>323</v>
      </c>
      <c r="C35" s="852"/>
      <c r="D35" s="852"/>
      <c r="E35" s="852"/>
      <c r="F35" s="112"/>
    </row>
    <row r="36" spans="2:6" ht="57" hidden="1" customHeight="1" thickBot="1">
      <c r="B36" s="98" t="s">
        <v>28</v>
      </c>
      <c r="C36" s="837"/>
      <c r="D36" s="843"/>
      <c r="E36" s="838"/>
      <c r="F36" s="143"/>
    </row>
    <row r="37" spans="2:6" ht="50.25" hidden="1" customHeight="1" thickBot="1">
      <c r="B37" s="84" t="s">
        <v>321</v>
      </c>
      <c r="C37" s="837"/>
      <c r="D37" s="843"/>
      <c r="E37" s="838"/>
      <c r="F37" s="93"/>
    </row>
    <row r="38" spans="2:6" ht="53.25" hidden="1" customHeight="1" thickBot="1">
      <c r="B38" s="84" t="s">
        <v>322</v>
      </c>
      <c r="C38" s="837"/>
      <c r="D38" s="843"/>
      <c r="E38" s="838"/>
      <c r="F38" s="93"/>
    </row>
    <row r="39" spans="2:6" ht="33" hidden="1" customHeight="1" thickBot="1">
      <c r="B39" s="84" t="s">
        <v>29</v>
      </c>
      <c r="C39" s="837"/>
      <c r="D39" s="843"/>
      <c r="E39" s="838"/>
      <c r="F39" s="93"/>
    </row>
    <row r="40" spans="2:6" ht="33" hidden="1" customHeight="1" thickBot="1">
      <c r="B40" s="84" t="s">
        <v>30</v>
      </c>
      <c r="C40" s="837"/>
      <c r="D40" s="843"/>
      <c r="E40" s="838"/>
      <c r="F40" s="93"/>
    </row>
    <row r="41" spans="2:6" ht="33" hidden="1" customHeight="1" thickBot="1">
      <c r="B41" s="84" t="s">
        <v>31</v>
      </c>
      <c r="C41" s="837"/>
      <c r="D41" s="843"/>
      <c r="E41" s="838"/>
      <c r="F41" s="93"/>
    </row>
    <row r="42" spans="2:6" ht="54.75" hidden="1" customHeight="1" thickBot="1">
      <c r="B42" s="84" t="s">
        <v>32</v>
      </c>
      <c r="C42" s="837"/>
      <c r="D42" s="843"/>
      <c r="E42" s="838"/>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7">
        <f>C36</f>
        <v>0</v>
      </c>
      <c r="D45" s="843"/>
      <c r="E45" s="843"/>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274</v>
      </c>
      <c r="C48" s="837"/>
      <c r="D48" s="843"/>
      <c r="E48" s="838"/>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7"/>
      <c r="D51" s="843"/>
      <c r="E51" s="838"/>
      <c r="F51" s="93"/>
    </row>
    <row r="52" spans="2:6" ht="24" hidden="1" customHeight="1" thickBot="1">
      <c r="B52" s="86"/>
      <c r="F52" s="93"/>
    </row>
    <row r="53" spans="2:6" ht="42" hidden="1" customHeight="1">
      <c r="B53" s="841" t="s">
        <v>34</v>
      </c>
      <c r="C53" s="115" t="s">
        <v>124</v>
      </c>
      <c r="D53" s="753" t="s">
        <v>235</v>
      </c>
      <c r="E53" s="761"/>
      <c r="F53" s="93"/>
    </row>
    <row r="54" spans="2:6" ht="48.75" hidden="1" customHeight="1" thickBot="1">
      <c r="B54" s="842"/>
      <c r="C54" s="144"/>
      <c r="D54" s="853"/>
      <c r="E54" s="854"/>
      <c r="F54" s="93"/>
    </row>
    <row r="55" spans="2:6" ht="35.25" hidden="1" customHeight="1">
      <c r="B55" s="86"/>
      <c r="F55" s="93"/>
    </row>
    <row r="56" spans="2:6" ht="25.5" hidden="1" customHeight="1" thickBot="1">
      <c r="B56" s="87" t="s">
        <v>35</v>
      </c>
      <c r="F56" s="850"/>
    </row>
    <row r="57" spans="2:6" ht="76.5" hidden="1" customHeight="1" thickBot="1">
      <c r="B57" s="102"/>
      <c r="C57" s="116" t="s">
        <v>36</v>
      </c>
      <c r="D57" s="839" t="s">
        <v>37</v>
      </c>
      <c r="E57" s="840"/>
      <c r="F57" s="851"/>
    </row>
    <row r="58" spans="2:6" ht="28.5" hidden="1" customHeight="1" thickBot="1">
      <c r="B58" s="100" t="s">
        <v>1</v>
      </c>
      <c r="C58" s="89">
        <f>LEN(C59)+LEN(D59)</f>
        <v>0</v>
      </c>
      <c r="D58" s="90"/>
      <c r="E58" s="101"/>
      <c r="F58" s="104"/>
    </row>
    <row r="59" spans="2:6" s="118" customFormat="1" ht="159" hidden="1" customHeight="1" thickBot="1">
      <c r="B59" s="103" t="s">
        <v>231</v>
      </c>
      <c r="C59" s="145"/>
      <c r="D59" s="837"/>
      <c r="E59" s="838"/>
      <c r="F59" s="81"/>
    </row>
    <row r="60" spans="2:6" ht="25.5" hidden="1" customHeight="1" thickBot="1">
      <c r="B60" s="100" t="s">
        <v>1</v>
      </c>
      <c r="C60" s="89">
        <f>LEN(C61)+LEN(D61)</f>
        <v>0</v>
      </c>
      <c r="D60" s="90"/>
      <c r="E60" s="101"/>
      <c r="F60" s="79"/>
    </row>
    <row r="61" spans="2:6" s="118" customFormat="1" ht="159" hidden="1" customHeight="1" thickBot="1">
      <c r="B61" s="103" t="s">
        <v>232</v>
      </c>
      <c r="C61" s="145"/>
      <c r="D61" s="837"/>
      <c r="E61" s="838"/>
      <c r="F61" s="80"/>
    </row>
    <row r="62" spans="2:6" ht="25.5" hidden="1" customHeight="1" thickBot="1">
      <c r="B62" s="100" t="s">
        <v>1</v>
      </c>
      <c r="C62" s="89">
        <f>LEN(C63)+LEN(D63)</f>
        <v>0</v>
      </c>
      <c r="D62" s="90"/>
      <c r="E62" s="101"/>
      <c r="F62" s="79"/>
    </row>
    <row r="63" spans="2:6" s="118" customFormat="1" ht="160.5" hidden="1" customHeight="1" thickBot="1">
      <c r="B63" s="103" t="s">
        <v>234</v>
      </c>
      <c r="C63" s="145"/>
      <c r="D63" s="837"/>
      <c r="E63" s="838"/>
      <c r="F63" s="80"/>
    </row>
    <row r="64" spans="2:6" ht="25.5" hidden="1" customHeight="1" thickBot="1">
      <c r="B64" s="100" t="s">
        <v>1</v>
      </c>
      <c r="C64" s="89">
        <f>LEN(C65)+LEN(D65)</f>
        <v>0</v>
      </c>
      <c r="D64" s="90"/>
      <c r="E64" s="101"/>
      <c r="F64" s="79"/>
    </row>
    <row r="65" spans="2:6" s="118" customFormat="1" ht="159" hidden="1" customHeight="1" thickBot="1">
      <c r="B65" s="103" t="s">
        <v>233</v>
      </c>
      <c r="C65" s="145"/>
      <c r="D65" s="837"/>
      <c r="E65" s="838"/>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43" priority="12">
      <formula>C14&gt;A14</formula>
    </cfRule>
  </conditionalFormatting>
  <conditionalFormatting sqref="D14:E14">
    <cfRule type="expression" dxfId="42" priority="11">
      <formula>C14&gt;A14</formula>
    </cfRule>
  </conditionalFormatting>
  <conditionalFormatting sqref="D17:E17">
    <cfRule type="expression" dxfId="41" priority="10">
      <formula>C17&gt;A17</formula>
    </cfRule>
  </conditionalFormatting>
  <conditionalFormatting sqref="D17:E17">
    <cfRule type="expression" dxfId="40" priority="9">
      <formula>C17&gt;A17</formula>
    </cfRule>
  </conditionalFormatting>
  <conditionalFormatting sqref="D25:E25">
    <cfRule type="expression" dxfId="39" priority="8">
      <formula>C25&gt;A25</formula>
    </cfRule>
  </conditionalFormatting>
  <conditionalFormatting sqref="D25:E25">
    <cfRule type="expression" dxfId="38" priority="7">
      <formula>C25&gt;A25</formula>
    </cfRule>
  </conditionalFormatting>
  <conditionalFormatting sqref="D27:E27">
    <cfRule type="expression" dxfId="37" priority="6">
      <formula>C27&gt;A27</formula>
    </cfRule>
  </conditionalFormatting>
  <conditionalFormatting sqref="D27:E27">
    <cfRule type="expression" dxfId="36" priority="5">
      <formula>C27&gt;A27</formula>
    </cfRule>
  </conditionalFormatting>
  <conditionalFormatting sqref="D29:E29">
    <cfRule type="expression" dxfId="35" priority="4">
      <formula>C29&gt;A29</formula>
    </cfRule>
  </conditionalFormatting>
  <conditionalFormatting sqref="D29:E29">
    <cfRule type="expression" dxfId="34" priority="3">
      <formula>C29&gt;A29</formula>
    </cfRule>
  </conditionalFormatting>
  <conditionalFormatting sqref="D31:E31">
    <cfRule type="expression" dxfId="33" priority="2">
      <formula>C31&gt;A31</formula>
    </cfRule>
  </conditionalFormatting>
  <conditionalFormatting sqref="D31:E31">
    <cfRule type="expression" dxfId="32"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3"/>
  <sheetViews>
    <sheetView tabSelected="1" view="pageBreakPreview" topLeftCell="A48" zoomScale="60" zoomScaleNormal="70" workbookViewId="0">
      <selection activeCell="G26" sqref="G26"/>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57" t="s">
        <v>245</v>
      </c>
      <c r="C1" s="858"/>
      <c r="D1" s="858"/>
      <c r="E1" s="858"/>
      <c r="F1" s="858"/>
      <c r="G1" s="859"/>
      <c r="H1" s="253" t="s">
        <v>207</v>
      </c>
    </row>
    <row r="2" spans="1:8" ht="30" customHeight="1" thickBot="1">
      <c r="A2" s="4"/>
      <c r="B2" s="363" t="s">
        <v>40</v>
      </c>
      <c r="C2" s="125"/>
      <c r="D2" s="125"/>
      <c r="E2" s="125"/>
      <c r="F2" s="125"/>
      <c r="G2" s="364"/>
      <c r="H2" s="129" t="s">
        <v>286</v>
      </c>
    </row>
    <row r="3" spans="1:8" s="107" customFormat="1" ht="45.75" customHeight="1" thickBot="1">
      <c r="A3" s="168"/>
      <c r="B3" s="365"/>
      <c r="C3" s="58" t="s">
        <v>41</v>
      </c>
      <c r="D3" s="58" t="s">
        <v>42</v>
      </c>
      <c r="E3" s="58" t="s">
        <v>60</v>
      </c>
      <c r="F3" s="326" t="s">
        <v>43</v>
      </c>
      <c r="G3" s="366" t="s">
        <v>61</v>
      </c>
      <c r="H3" s="863" t="s">
        <v>378</v>
      </c>
    </row>
    <row r="4" spans="1:8" ht="30" customHeight="1" thickBot="1">
      <c r="A4" s="4"/>
      <c r="B4" s="367" t="s">
        <v>44</v>
      </c>
      <c r="C4" s="188" t="s">
        <v>308</v>
      </c>
      <c r="D4" s="164"/>
      <c r="E4" s="164"/>
      <c r="F4" s="164"/>
      <c r="G4" s="368">
        <f>SUM(G5:G17)</f>
        <v>398047</v>
      </c>
      <c r="H4" s="864"/>
    </row>
    <row r="5" spans="1:8" ht="45" customHeight="1" thickBot="1">
      <c r="A5" s="4"/>
      <c r="B5" s="369" t="s">
        <v>45</v>
      </c>
      <c r="C5" s="707"/>
      <c r="D5" s="707"/>
      <c r="E5" s="707"/>
      <c r="F5" s="707"/>
      <c r="G5" s="708"/>
      <c r="H5" s="864"/>
    </row>
    <row r="6" spans="1:8" ht="45" hidden="1" customHeight="1">
      <c r="A6" s="4"/>
      <c r="B6" s="370" t="s">
        <v>45</v>
      </c>
      <c r="C6" s="707"/>
      <c r="D6" s="707"/>
      <c r="E6" s="707"/>
      <c r="F6" s="707"/>
      <c r="G6" s="708"/>
      <c r="H6" s="864"/>
    </row>
    <row r="7" spans="1:8" ht="45" hidden="1" customHeight="1">
      <c r="A7" s="4"/>
      <c r="B7" s="370" t="s">
        <v>45</v>
      </c>
      <c r="C7" s="707"/>
      <c r="D7" s="707"/>
      <c r="E7" s="707"/>
      <c r="F7" s="707"/>
      <c r="G7" s="708"/>
      <c r="H7" s="864"/>
    </row>
    <row r="8" spans="1:8" ht="45" hidden="1" customHeight="1" thickBot="1">
      <c r="A8" s="4"/>
      <c r="B8" s="372" t="s">
        <v>45</v>
      </c>
      <c r="C8" s="707"/>
      <c r="D8" s="707"/>
      <c r="E8" s="707"/>
      <c r="F8" s="707"/>
      <c r="G8" s="708"/>
      <c r="H8" s="864"/>
    </row>
    <row r="9" spans="1:8" ht="45" customHeight="1" thickBot="1">
      <c r="A9" s="4"/>
      <c r="B9" s="706" t="s">
        <v>62</v>
      </c>
      <c r="C9" s="707" t="s">
        <v>728</v>
      </c>
      <c r="D9" s="707" t="s">
        <v>729</v>
      </c>
      <c r="E9" s="707" t="s">
        <v>640</v>
      </c>
      <c r="F9" s="709" t="s">
        <v>730</v>
      </c>
      <c r="G9" s="708">
        <v>20305</v>
      </c>
      <c r="H9" s="864"/>
    </row>
    <row r="10" spans="1:8" ht="45" hidden="1" customHeight="1">
      <c r="A10" s="4"/>
      <c r="B10" s="706" t="s">
        <v>62</v>
      </c>
      <c r="C10" s="707"/>
      <c r="D10" s="707"/>
      <c r="E10" s="707"/>
      <c r="F10" s="707"/>
      <c r="G10" s="708"/>
      <c r="H10" s="864"/>
    </row>
    <row r="11" spans="1:8" ht="45" hidden="1" customHeight="1">
      <c r="A11" s="4"/>
      <c r="B11" s="706" t="s">
        <v>62</v>
      </c>
      <c r="C11" s="707"/>
      <c r="D11" s="707"/>
      <c r="E11" s="707"/>
      <c r="F11" s="707"/>
      <c r="G11" s="708"/>
      <c r="H11" s="864"/>
    </row>
    <row r="12" spans="1:8" ht="45" hidden="1" customHeight="1" thickBot="1">
      <c r="A12" s="4"/>
      <c r="B12" s="706" t="s">
        <v>62</v>
      </c>
      <c r="C12" s="707"/>
      <c r="D12" s="707"/>
      <c r="E12" s="707"/>
      <c r="F12" s="707"/>
      <c r="G12" s="708"/>
      <c r="H12" s="864"/>
    </row>
    <row r="13" spans="1:8" ht="45" customHeight="1" thickBot="1">
      <c r="A13" s="4"/>
      <c r="B13" s="706" t="s">
        <v>62</v>
      </c>
      <c r="C13" s="707" t="s">
        <v>731</v>
      </c>
      <c r="D13" s="707" t="s">
        <v>637</v>
      </c>
      <c r="E13" s="707" t="s">
        <v>638</v>
      </c>
      <c r="F13" s="709" t="s">
        <v>734</v>
      </c>
      <c r="G13" s="708">
        <v>27742</v>
      </c>
      <c r="H13" s="864"/>
    </row>
    <row r="14" spans="1:8" ht="45" customHeight="1" thickBot="1">
      <c r="A14" s="4"/>
      <c r="B14" s="369" t="s">
        <v>63</v>
      </c>
      <c r="C14" s="707" t="s">
        <v>639</v>
      </c>
      <c r="D14" s="707" t="s">
        <v>732</v>
      </c>
      <c r="E14" s="707" t="s">
        <v>733</v>
      </c>
      <c r="F14" s="709" t="s">
        <v>735</v>
      </c>
      <c r="G14" s="711">
        <v>150000</v>
      </c>
      <c r="H14" s="864"/>
    </row>
    <row r="15" spans="1:8" ht="45" hidden="1" customHeight="1">
      <c r="A15" s="4"/>
      <c r="B15" s="704" t="s">
        <v>62</v>
      </c>
      <c r="C15" s="705"/>
      <c r="D15" s="209"/>
      <c r="E15" s="209"/>
      <c r="F15" s="209"/>
      <c r="G15" s="375"/>
      <c r="H15" s="864"/>
    </row>
    <row r="16" spans="1:8" ht="45" hidden="1" customHeight="1">
      <c r="A16" s="4"/>
      <c r="B16" s="372" t="s">
        <v>62</v>
      </c>
      <c r="C16" s="211"/>
      <c r="D16" s="150"/>
      <c r="E16" s="150"/>
      <c r="F16" s="150"/>
      <c r="G16" s="373"/>
      <c r="H16" s="864"/>
    </row>
    <row r="17" spans="1:8" ht="45" hidden="1" customHeight="1" thickBot="1">
      <c r="A17" s="4"/>
      <c r="B17" s="369" t="s">
        <v>63</v>
      </c>
      <c r="C17" s="212" t="s">
        <v>639</v>
      </c>
      <c r="D17" s="213" t="s">
        <v>732</v>
      </c>
      <c r="E17" s="213" t="s">
        <v>733</v>
      </c>
      <c r="F17" s="701">
        <v>43312</v>
      </c>
      <c r="G17" s="710">
        <v>200000</v>
      </c>
      <c r="H17" s="864"/>
    </row>
    <row r="18" spans="1:8" ht="31.5" customHeight="1" thickBot="1">
      <c r="A18" s="4"/>
      <c r="B18" s="352" t="s">
        <v>46</v>
      </c>
      <c r="C18" s="188" t="s">
        <v>308</v>
      </c>
      <c r="D18" s="162"/>
      <c r="E18" s="162"/>
      <c r="F18" s="162"/>
      <c r="G18" s="377">
        <f>SUM(G19:G36)</f>
        <v>720000</v>
      </c>
      <c r="H18" s="864"/>
    </row>
    <row r="19" spans="1:8" ht="44.25" customHeight="1" thickBot="1">
      <c r="A19" s="4"/>
      <c r="B19" s="706" t="s">
        <v>47</v>
      </c>
      <c r="C19" s="707"/>
      <c r="D19" s="707"/>
      <c r="E19" s="707"/>
      <c r="F19" s="707"/>
      <c r="G19" s="708"/>
      <c r="H19" s="864"/>
    </row>
    <row r="20" spans="1:8" ht="44.25" hidden="1" customHeight="1">
      <c r="A20" s="4"/>
      <c r="B20" s="706" t="s">
        <v>47</v>
      </c>
      <c r="C20" s="707"/>
      <c r="D20" s="707"/>
      <c r="E20" s="707"/>
      <c r="F20" s="707"/>
      <c r="G20" s="708"/>
      <c r="H20" s="864"/>
    </row>
    <row r="21" spans="1:8" ht="44.25" hidden="1" customHeight="1">
      <c r="A21" s="4"/>
      <c r="B21" s="706" t="s">
        <v>47</v>
      </c>
      <c r="C21" s="707"/>
      <c r="D21" s="707"/>
      <c r="E21" s="707"/>
      <c r="F21" s="707"/>
      <c r="G21" s="708"/>
      <c r="H21" s="864"/>
    </row>
    <row r="22" spans="1:8" ht="44.25" hidden="1" customHeight="1" thickBot="1">
      <c r="A22" s="4"/>
      <c r="B22" s="706" t="s">
        <v>47</v>
      </c>
      <c r="C22" s="707"/>
      <c r="D22" s="707"/>
      <c r="E22" s="707"/>
      <c r="F22" s="707"/>
      <c r="G22" s="708"/>
      <c r="H22" s="864"/>
    </row>
    <row r="23" spans="1:8" ht="45.75" thickBot="1">
      <c r="A23" s="4"/>
      <c r="B23" s="706" t="s">
        <v>221</v>
      </c>
      <c r="C23" s="707" t="s">
        <v>763</v>
      </c>
      <c r="D23" s="707" t="s">
        <v>724</v>
      </c>
      <c r="E23" s="707" t="s">
        <v>640</v>
      </c>
      <c r="F23" s="709" t="s">
        <v>736</v>
      </c>
      <c r="G23" s="708">
        <v>519990</v>
      </c>
      <c r="H23" s="864"/>
    </row>
    <row r="24" spans="1:8" ht="44.25" hidden="1" customHeight="1">
      <c r="A24" s="4"/>
      <c r="B24" s="706" t="s">
        <v>221</v>
      </c>
      <c r="C24" s="707"/>
      <c r="D24" s="707"/>
      <c r="E24" s="707"/>
      <c r="F24" s="707"/>
      <c r="G24" s="708"/>
      <c r="H24" s="864"/>
    </row>
    <row r="25" spans="1:8" ht="45.75" thickBot="1">
      <c r="A25" s="4"/>
      <c r="B25" s="706" t="s">
        <v>221</v>
      </c>
      <c r="C25" s="707" t="s">
        <v>727</v>
      </c>
      <c r="D25" s="707" t="s">
        <v>726</v>
      </c>
      <c r="E25" s="707" t="s">
        <v>640</v>
      </c>
      <c r="F25" s="709" t="s">
        <v>736</v>
      </c>
      <c r="G25" s="708">
        <v>29020</v>
      </c>
      <c r="H25" s="864"/>
    </row>
    <row r="26" spans="1:8" ht="45.75" thickBot="1">
      <c r="A26" s="4"/>
      <c r="B26" s="706" t="s">
        <v>221</v>
      </c>
      <c r="C26" s="707" t="s">
        <v>725</v>
      </c>
      <c r="D26" s="707" t="s">
        <v>724</v>
      </c>
      <c r="E26" s="707" t="s">
        <v>640</v>
      </c>
      <c r="F26" s="709" t="s">
        <v>737</v>
      </c>
      <c r="G26" s="708">
        <v>170990</v>
      </c>
      <c r="H26" s="864"/>
    </row>
    <row r="27" spans="1:8" ht="45.75" thickBot="1">
      <c r="A27" s="4"/>
      <c r="B27" s="706" t="s">
        <v>221</v>
      </c>
      <c r="C27" s="707"/>
      <c r="D27" s="707"/>
      <c r="E27" s="707"/>
      <c r="F27" s="709"/>
      <c r="G27" s="708"/>
      <c r="H27" s="864"/>
    </row>
    <row r="28" spans="1:8" ht="30.75" thickBot="1">
      <c r="A28" s="4"/>
      <c r="B28" s="706" t="s">
        <v>48</v>
      </c>
      <c r="C28" s="707"/>
      <c r="D28" s="707"/>
      <c r="E28" s="707"/>
      <c r="F28" s="707"/>
      <c r="G28" s="708"/>
      <c r="H28" s="864"/>
    </row>
    <row r="29" spans="1:8" ht="44.25" hidden="1" customHeight="1">
      <c r="A29" s="4"/>
      <c r="B29" s="704" t="s">
        <v>48</v>
      </c>
      <c r="C29" s="705"/>
      <c r="D29" s="209"/>
      <c r="E29" s="209"/>
      <c r="F29" s="209"/>
      <c r="G29" s="375"/>
      <c r="H29" s="864"/>
    </row>
    <row r="30" spans="1:8" ht="44.25" hidden="1" customHeight="1">
      <c r="A30" s="4"/>
      <c r="B30" s="370" t="s">
        <v>48</v>
      </c>
      <c r="C30" s="210"/>
      <c r="D30" s="148"/>
      <c r="E30" s="148"/>
      <c r="F30" s="148"/>
      <c r="G30" s="371"/>
      <c r="H30" s="864"/>
    </row>
    <row r="31" spans="1:8" ht="44.25" hidden="1" customHeight="1" thickBot="1">
      <c r="A31" s="4"/>
      <c r="B31" s="372" t="s">
        <v>48</v>
      </c>
      <c r="C31" s="211"/>
      <c r="D31" s="150"/>
      <c r="E31" s="150"/>
      <c r="F31" s="150"/>
      <c r="G31" s="373"/>
      <c r="H31" s="864"/>
    </row>
    <row r="32" spans="1:8" ht="44.25" customHeight="1" thickBot="1">
      <c r="A32" s="4"/>
      <c r="B32" s="378" t="s">
        <v>49</v>
      </c>
      <c r="C32" s="212"/>
      <c r="D32" s="213"/>
      <c r="E32" s="213"/>
      <c r="F32" s="213"/>
      <c r="G32" s="374"/>
      <c r="H32" s="864"/>
    </row>
    <row r="33" spans="1:8" ht="44.25" hidden="1" customHeight="1">
      <c r="A33" s="4"/>
      <c r="B33" s="379" t="s">
        <v>49</v>
      </c>
      <c r="C33" s="209"/>
      <c r="D33" s="209"/>
      <c r="E33" s="209"/>
      <c r="F33" s="209"/>
      <c r="G33" s="375"/>
      <c r="H33" s="864"/>
    </row>
    <row r="34" spans="1:8" ht="44.25" hidden="1" customHeight="1">
      <c r="A34" s="4"/>
      <c r="B34" s="380" t="s">
        <v>49</v>
      </c>
      <c r="C34" s="148"/>
      <c r="D34" s="148"/>
      <c r="E34" s="148"/>
      <c r="F34" s="148"/>
      <c r="G34" s="371"/>
      <c r="H34" s="864"/>
    </row>
    <row r="35" spans="1:8" ht="44.25" hidden="1" customHeight="1" thickBot="1">
      <c r="A35" s="4"/>
      <c r="B35" s="381" t="s">
        <v>49</v>
      </c>
      <c r="C35" s="149"/>
      <c r="D35" s="149"/>
      <c r="E35" s="149"/>
      <c r="F35" s="149"/>
      <c r="G35" s="376"/>
      <c r="H35" s="865"/>
    </row>
    <row r="36" spans="1:8" ht="16.5" customHeight="1" thickBot="1">
      <c r="A36" s="4"/>
      <c r="B36" s="382"/>
      <c r="C36" s="36"/>
      <c r="D36" s="36"/>
      <c r="E36" s="36"/>
      <c r="F36" s="36"/>
      <c r="G36" s="383"/>
      <c r="H36" s="362"/>
    </row>
    <row r="37" spans="1:8" ht="88.5" customHeight="1" thickBot="1">
      <c r="A37" s="4"/>
      <c r="B37" s="384" t="s">
        <v>50</v>
      </c>
      <c r="C37" s="860" t="s">
        <v>749</v>
      </c>
      <c r="D37" s="861"/>
      <c r="E37" s="861"/>
      <c r="F37" s="861"/>
      <c r="G37" s="862"/>
      <c r="H37" s="232"/>
    </row>
    <row r="38" spans="1:8" ht="15.75" customHeight="1" thickTop="1" thickBot="1">
      <c r="A38" s="4"/>
      <c r="B38" s="234"/>
      <c r="C38" s="70"/>
      <c r="D38" s="70"/>
      <c r="E38" s="70"/>
      <c r="F38" s="70"/>
      <c r="G38" s="235"/>
      <c r="H38" s="331"/>
    </row>
    <row r="39" spans="1:8" ht="53.25" customHeight="1" thickTop="1" thickBot="1">
      <c r="A39" s="4"/>
      <c r="B39" s="878" t="s">
        <v>51</v>
      </c>
      <c r="C39" s="879"/>
      <c r="D39" s="879"/>
      <c r="E39" s="879"/>
      <c r="F39" s="879"/>
      <c r="G39" s="880"/>
      <c r="H39" s="254" t="s">
        <v>278</v>
      </c>
    </row>
    <row r="40" spans="1:8" ht="35.25" customHeight="1" thickBot="1">
      <c r="A40" s="180">
        <v>3000</v>
      </c>
      <c r="B40" s="361" t="s">
        <v>1</v>
      </c>
      <c r="C40" s="146">
        <f>LEN(C41)</f>
        <v>48</v>
      </c>
      <c r="D40" s="737" t="str">
        <f>IF(C40&gt;A40,CONCATENATE("Karaktertúllépés! Kérjük, válaszát maximum ",A40," karakterben foglalja össze!"),CONCATENATE("Még beírható karakterek száma:   ",A40-C40))</f>
        <v>Még beírható karakterek száma:   2952</v>
      </c>
      <c r="E40" s="801"/>
      <c r="F40" s="801"/>
      <c r="G40" s="877"/>
      <c r="H40" s="255"/>
    </row>
    <row r="41" spans="1:8" ht="270.75" customHeight="1">
      <c r="A41" s="4"/>
      <c r="B41" s="866" t="s">
        <v>220</v>
      </c>
      <c r="C41" s="868" t="s">
        <v>641</v>
      </c>
      <c r="D41" s="869"/>
      <c r="E41" s="869"/>
      <c r="F41" s="869"/>
      <c r="G41" s="870"/>
      <c r="H41" s="823" t="s">
        <v>379</v>
      </c>
    </row>
    <row r="42" spans="1:8" ht="315" customHeight="1" thickBot="1">
      <c r="A42" s="4"/>
      <c r="B42" s="867"/>
      <c r="C42" s="871"/>
      <c r="D42" s="872"/>
      <c r="E42" s="872"/>
      <c r="F42" s="872"/>
      <c r="G42" s="873"/>
      <c r="H42" s="825"/>
    </row>
    <row r="43" spans="1:8" ht="21.6" customHeight="1" thickTop="1" thickBot="1">
      <c r="A43" s="4"/>
      <c r="B43" s="234"/>
      <c r="C43" s="70"/>
      <c r="D43" s="70"/>
      <c r="E43" s="70"/>
      <c r="F43" s="70"/>
      <c r="G43" s="235"/>
      <c r="H43" s="93"/>
    </row>
    <row r="44" spans="1:8" ht="35.25" customHeight="1" thickTop="1" thickBot="1">
      <c r="A44" s="180">
        <v>3000</v>
      </c>
      <c r="B44" s="359" t="s">
        <v>1</v>
      </c>
      <c r="C44" s="360">
        <f>LEN(C45)</f>
        <v>1720</v>
      </c>
      <c r="D44" s="874" t="str">
        <f>IF(C44&gt;A44,CONCATENATE("Karaktertúllépés! Kérjük, válaszát maximum ",A44," karakterben foglalja össze!"),CONCATENATE("Még beírható karakterek száma:   ",A44-C44))</f>
        <v>Még beírható karakterek száma:   1280</v>
      </c>
      <c r="E44" s="875"/>
      <c r="F44" s="875"/>
      <c r="G44" s="876"/>
      <c r="H44" s="255"/>
    </row>
    <row r="45" spans="1:8" ht="243.75" customHeight="1">
      <c r="A45" s="4"/>
      <c r="B45" s="866" t="s">
        <v>64</v>
      </c>
      <c r="C45" s="868" t="s">
        <v>682</v>
      </c>
      <c r="D45" s="869"/>
      <c r="E45" s="869"/>
      <c r="F45" s="869"/>
      <c r="G45" s="870"/>
      <c r="H45" s="93"/>
    </row>
    <row r="46" spans="1:8" ht="360" customHeight="1" thickBot="1">
      <c r="A46" s="4"/>
      <c r="B46" s="867"/>
      <c r="C46" s="871"/>
      <c r="D46" s="872"/>
      <c r="E46" s="872"/>
      <c r="F46" s="872"/>
      <c r="G46" s="873"/>
      <c r="H46" s="93"/>
    </row>
    <row r="47" spans="1:8" ht="17.25" thickTop="1" thickBot="1">
      <c r="A47" s="4"/>
      <c r="B47" s="234"/>
      <c r="C47" s="70"/>
      <c r="D47" s="70"/>
      <c r="E47" s="70"/>
      <c r="F47" s="70"/>
      <c r="G47" s="235"/>
      <c r="H47" s="93"/>
    </row>
    <row r="48" spans="1:8" ht="30" customHeight="1">
      <c r="A48" s="4"/>
      <c r="B48" s="258" t="s">
        <v>52</v>
      </c>
      <c r="C48" s="259"/>
      <c r="D48" s="259"/>
      <c r="E48" s="259"/>
      <c r="F48" s="259"/>
      <c r="G48" s="260"/>
      <c r="H48" s="94"/>
    </row>
    <row r="49" spans="1:8" ht="16.5" thickBot="1">
      <c r="A49" s="4"/>
      <c r="B49" s="261" t="s">
        <v>222</v>
      </c>
      <c r="C49" s="236"/>
      <c r="D49" s="236"/>
      <c r="E49" s="236"/>
      <c r="F49" s="236"/>
      <c r="G49" s="237"/>
      <c r="H49" s="94"/>
    </row>
    <row r="50" spans="1:8" ht="35.25" customHeight="1" thickBot="1">
      <c r="A50" s="180">
        <v>1000</v>
      </c>
      <c r="B50" s="108" t="s">
        <v>1</v>
      </c>
      <c r="C50" s="146">
        <f>LEN(C51)</f>
        <v>203</v>
      </c>
      <c r="D50" s="737" t="str">
        <f>IF(C50&gt;A50,CONCATENATE("Karaktertúllépés! Kérjük, válaszát maximum ",A50," karakterben foglalja össze!"),CONCATENATE("Még beírható karakterek száma:   ",A50-C50))</f>
        <v>Még beírható karakterek száma:   797</v>
      </c>
      <c r="E50" s="801"/>
      <c r="F50" s="801"/>
      <c r="G50" s="738"/>
      <c r="H50" s="254"/>
    </row>
    <row r="51" spans="1:8" ht="201.75" customHeight="1" thickBot="1">
      <c r="A51" s="4"/>
      <c r="B51" s="159" t="s">
        <v>277</v>
      </c>
      <c r="C51" s="837" t="s">
        <v>683</v>
      </c>
      <c r="D51" s="843"/>
      <c r="E51" s="843"/>
      <c r="F51" s="843"/>
      <c r="G51" s="838"/>
      <c r="H51" s="256" t="s">
        <v>279</v>
      </c>
    </row>
    <row r="52" spans="1:8" ht="21.75" customHeight="1" thickBot="1">
      <c r="A52" s="4"/>
      <c r="B52" s="234"/>
      <c r="C52" s="70"/>
      <c r="D52" s="70"/>
      <c r="E52" s="70"/>
      <c r="F52" s="70"/>
      <c r="G52" s="235"/>
      <c r="H52" s="93"/>
    </row>
    <row r="53" spans="1:8" ht="23.25" customHeight="1" thickTop="1">
      <c r="A53" s="4"/>
      <c r="B53" s="347" t="s">
        <v>53</v>
      </c>
      <c r="C53" s="348"/>
      <c r="D53" s="348"/>
      <c r="E53" s="348"/>
      <c r="F53" s="348"/>
      <c r="G53" s="349"/>
      <c r="H53" s="96"/>
    </row>
    <row r="54" spans="1:8" ht="22.5" customHeight="1" thickBot="1">
      <c r="A54" s="4"/>
      <c r="B54" s="350" t="s">
        <v>54</v>
      </c>
      <c r="C54" s="167"/>
      <c r="D54" s="167"/>
      <c r="E54" s="167"/>
      <c r="F54" s="167"/>
      <c r="G54" s="351"/>
      <c r="H54" s="94"/>
    </row>
    <row r="55" spans="1:8" ht="87" customHeight="1" thickBot="1">
      <c r="A55" s="4"/>
      <c r="B55" s="352" t="s">
        <v>55</v>
      </c>
      <c r="C55" s="160" t="s">
        <v>14</v>
      </c>
      <c r="D55" s="160" t="s">
        <v>56</v>
      </c>
      <c r="E55" s="327" t="s">
        <v>280</v>
      </c>
      <c r="F55" s="327" t="s">
        <v>283</v>
      </c>
      <c r="G55" s="353" t="s">
        <v>281</v>
      </c>
      <c r="H55" s="856" t="s">
        <v>404</v>
      </c>
    </row>
    <row r="56" spans="1:8" ht="36" customHeight="1" thickBot="1">
      <c r="A56" s="4"/>
      <c r="B56" s="354" t="s">
        <v>57</v>
      </c>
      <c r="C56" s="219" t="s">
        <v>617</v>
      </c>
      <c r="D56" s="219" t="s">
        <v>644</v>
      </c>
      <c r="E56" s="219" t="s">
        <v>643</v>
      </c>
      <c r="F56" s="219" t="s">
        <v>642</v>
      </c>
      <c r="G56" s="355">
        <v>180500</v>
      </c>
      <c r="H56" s="856"/>
    </row>
    <row r="57" spans="1:8" ht="36" customHeight="1" thickBot="1">
      <c r="A57" s="4"/>
      <c r="B57" s="354"/>
      <c r="C57" s="219"/>
      <c r="D57" s="219"/>
      <c r="E57" s="219"/>
      <c r="F57" s="219"/>
      <c r="G57" s="355"/>
      <c r="H57" s="856"/>
    </row>
    <row r="58" spans="1:8" ht="36" customHeight="1" thickBot="1">
      <c r="A58" s="4"/>
      <c r="B58" s="354"/>
      <c r="C58" s="220"/>
      <c r="D58" s="220"/>
      <c r="E58" s="219"/>
      <c r="F58" s="219"/>
      <c r="G58" s="355"/>
      <c r="H58" s="856"/>
    </row>
    <row r="59" spans="1:8" ht="36" customHeight="1" thickBot="1">
      <c r="A59" s="4"/>
      <c r="B59" s="354"/>
      <c r="C59" s="220"/>
      <c r="D59" s="220"/>
      <c r="E59" s="219"/>
      <c r="F59" s="219"/>
      <c r="G59" s="355"/>
      <c r="H59" s="856"/>
    </row>
    <row r="60" spans="1:8" ht="36" customHeight="1" thickBot="1">
      <c r="A60" s="4"/>
      <c r="B60" s="354"/>
      <c r="C60" s="219"/>
      <c r="D60" s="219"/>
      <c r="E60" s="219"/>
      <c r="F60" s="219"/>
      <c r="G60" s="355"/>
      <c r="H60" s="856"/>
    </row>
    <row r="61" spans="1:8" ht="36" customHeight="1" thickBot="1">
      <c r="A61" s="4"/>
      <c r="B61" s="356"/>
      <c r="C61" s="357"/>
      <c r="D61" s="357"/>
      <c r="E61" s="357"/>
      <c r="F61" s="357"/>
      <c r="G61" s="358"/>
      <c r="H61" s="856"/>
    </row>
    <row r="62" spans="1:8" ht="9" customHeight="1" thickTop="1" thickBot="1">
      <c r="A62" s="4"/>
      <c r="B62" s="240"/>
      <c r="C62" s="74"/>
      <c r="D62" s="74"/>
      <c r="E62" s="74"/>
      <c r="F62" s="74"/>
      <c r="G62" s="257"/>
      <c r="H62" s="93"/>
    </row>
    <row r="63" spans="1:8" ht="30.75" customHeight="1" thickTop="1" thickBot="1">
      <c r="A63" s="4"/>
      <c r="B63" s="336" t="s">
        <v>58</v>
      </c>
      <c r="C63" s="337"/>
      <c r="D63" s="337"/>
      <c r="E63" s="348"/>
      <c r="F63" s="348"/>
      <c r="G63" s="349"/>
      <c r="H63" s="856" t="s">
        <v>282</v>
      </c>
    </row>
    <row r="64" spans="1:8" ht="30" customHeight="1" thickBot="1">
      <c r="A64" s="4"/>
      <c r="B64" s="338"/>
      <c r="C64" s="262">
        <v>2018</v>
      </c>
      <c r="D64" s="263">
        <v>2019</v>
      </c>
      <c r="E64" s="58">
        <v>2020</v>
      </c>
      <c r="F64" s="892">
        <v>2021</v>
      </c>
      <c r="G64" s="892"/>
      <c r="H64" s="856"/>
    </row>
    <row r="65" spans="1:8" ht="36.75" customHeight="1" thickBot="1">
      <c r="A65" s="4"/>
      <c r="B65" s="339" t="s">
        <v>59</v>
      </c>
      <c r="C65" s="220">
        <v>1</v>
      </c>
      <c r="D65" s="538">
        <v>1</v>
      </c>
      <c r="E65" s="539">
        <v>1</v>
      </c>
      <c r="F65" s="893">
        <v>1</v>
      </c>
      <c r="G65" s="893"/>
      <c r="H65" s="856"/>
    </row>
    <row r="66" spans="1:8" ht="36.75" customHeight="1" thickBot="1">
      <c r="A66" s="4"/>
      <c r="B66" s="340"/>
      <c r="C66" s="74"/>
      <c r="D66" s="74"/>
      <c r="E66" s="110"/>
      <c r="F66" s="110"/>
      <c r="G66" s="341"/>
      <c r="H66" s="856"/>
    </row>
    <row r="67" spans="1:8" ht="24" thickBot="1">
      <c r="A67" s="4"/>
      <c r="B67" s="342" t="s">
        <v>259</v>
      </c>
      <c r="C67" s="264"/>
      <c r="D67" s="264"/>
      <c r="E67" s="264"/>
      <c r="F67" s="264"/>
      <c r="G67" s="343"/>
      <c r="H67" s="94"/>
    </row>
    <row r="68" spans="1:8" ht="24.75" customHeight="1" thickBot="1">
      <c r="A68" s="4"/>
      <c r="B68" s="344"/>
      <c r="C68" s="325" t="s">
        <v>324</v>
      </c>
      <c r="D68" s="328" t="s">
        <v>326</v>
      </c>
      <c r="E68" s="883" t="s">
        <v>325</v>
      </c>
      <c r="F68" s="883"/>
      <c r="G68" s="884"/>
      <c r="H68" s="856" t="s">
        <v>380</v>
      </c>
    </row>
    <row r="69" spans="1:8" ht="18" customHeight="1">
      <c r="A69" s="4"/>
      <c r="B69" s="881" t="s">
        <v>258</v>
      </c>
      <c r="C69" s="332" t="s">
        <v>645</v>
      </c>
      <c r="D69" s="333">
        <v>5000</v>
      </c>
      <c r="E69" s="788" t="s">
        <v>751</v>
      </c>
      <c r="F69" s="789"/>
      <c r="G69" s="885"/>
      <c r="H69" s="856"/>
    </row>
    <row r="70" spans="1:8" ht="18" customHeight="1">
      <c r="A70" s="4"/>
      <c r="B70" s="881"/>
      <c r="C70" s="334" t="s">
        <v>327</v>
      </c>
      <c r="D70" s="335">
        <v>0</v>
      </c>
      <c r="E70" s="886"/>
      <c r="F70" s="887"/>
      <c r="G70" s="888"/>
      <c r="H70" s="856"/>
    </row>
    <row r="71" spans="1:8" ht="18" customHeight="1">
      <c r="A71" s="4"/>
      <c r="B71" s="881"/>
      <c r="C71" s="334" t="s">
        <v>750</v>
      </c>
      <c r="D71" s="335">
        <v>0</v>
      </c>
      <c r="E71" s="886"/>
      <c r="F71" s="887"/>
      <c r="G71" s="888"/>
      <c r="H71" s="856"/>
    </row>
    <row r="72" spans="1:8" ht="18" customHeight="1">
      <c r="A72" s="4"/>
      <c r="B72" s="881"/>
      <c r="C72" s="334" t="s">
        <v>327</v>
      </c>
      <c r="D72" s="335">
        <v>0</v>
      </c>
      <c r="E72" s="886"/>
      <c r="F72" s="887"/>
      <c r="G72" s="888"/>
      <c r="H72" s="856"/>
    </row>
    <row r="73" spans="1:8" ht="18" customHeight="1">
      <c r="A73" s="4"/>
      <c r="B73" s="881"/>
      <c r="C73" s="334" t="s">
        <v>752</v>
      </c>
      <c r="D73" s="335">
        <v>10000</v>
      </c>
      <c r="E73" s="886"/>
      <c r="F73" s="887"/>
      <c r="G73" s="888"/>
      <c r="H73" s="856"/>
    </row>
    <row r="74" spans="1:8" ht="18" customHeight="1">
      <c r="A74" s="4"/>
      <c r="B74" s="881"/>
      <c r="C74" s="334" t="s">
        <v>753</v>
      </c>
      <c r="D74" s="335">
        <v>5000</v>
      </c>
      <c r="E74" s="886"/>
      <c r="F74" s="887"/>
      <c r="G74" s="888"/>
      <c r="H74" s="856"/>
    </row>
    <row r="75" spans="1:8" ht="18" customHeight="1">
      <c r="A75" s="4"/>
      <c r="B75" s="881"/>
      <c r="C75" s="334" t="s">
        <v>754</v>
      </c>
      <c r="D75" s="335">
        <v>5000</v>
      </c>
      <c r="E75" s="886"/>
      <c r="F75" s="887"/>
      <c r="G75" s="888"/>
      <c r="H75" s="856"/>
    </row>
    <row r="76" spans="1:8" ht="18" customHeight="1">
      <c r="A76" s="4"/>
      <c r="B76" s="881"/>
      <c r="C76" s="334" t="s">
        <v>755</v>
      </c>
      <c r="D76" s="335">
        <v>50000</v>
      </c>
      <c r="E76" s="886"/>
      <c r="F76" s="887"/>
      <c r="G76" s="888"/>
      <c r="H76" s="856"/>
    </row>
    <row r="77" spans="1:8" ht="18" customHeight="1">
      <c r="A77" s="4"/>
      <c r="B77" s="881"/>
      <c r="C77" s="334"/>
      <c r="D77" s="335"/>
      <c r="E77" s="886"/>
      <c r="F77" s="887"/>
      <c r="G77" s="888"/>
      <c r="H77" s="856"/>
    </row>
    <row r="78" spans="1:8" ht="18" customHeight="1">
      <c r="A78" s="4"/>
      <c r="B78" s="881"/>
      <c r="C78" s="334"/>
      <c r="D78" s="335"/>
      <c r="E78" s="886"/>
      <c r="F78" s="887"/>
      <c r="G78" s="888"/>
      <c r="H78" s="856"/>
    </row>
    <row r="79" spans="1:8" ht="18" customHeight="1">
      <c r="A79" s="4"/>
      <c r="B79" s="881"/>
      <c r="C79" s="334"/>
      <c r="D79" s="335"/>
      <c r="E79" s="886"/>
      <c r="F79" s="887"/>
      <c r="G79" s="888"/>
      <c r="H79" s="856"/>
    </row>
    <row r="80" spans="1:8" ht="18" customHeight="1">
      <c r="A80" s="4"/>
      <c r="B80" s="881"/>
      <c r="C80" s="334"/>
      <c r="D80" s="335"/>
      <c r="E80" s="886"/>
      <c r="F80" s="887"/>
      <c r="G80" s="888"/>
      <c r="H80" s="856"/>
    </row>
    <row r="81" spans="1:8" ht="18" customHeight="1">
      <c r="A81" s="4"/>
      <c r="B81" s="881"/>
      <c r="C81" s="334"/>
      <c r="D81" s="335"/>
      <c r="E81" s="886"/>
      <c r="F81" s="887"/>
      <c r="G81" s="888"/>
      <c r="H81" s="856"/>
    </row>
    <row r="82" spans="1:8" ht="18" customHeight="1" thickBot="1">
      <c r="A82" s="4"/>
      <c r="B82" s="882"/>
      <c r="C82" s="345" t="s">
        <v>308</v>
      </c>
      <c r="D82" s="346">
        <f>SUM(D69:D81)</f>
        <v>75000</v>
      </c>
      <c r="E82" s="889"/>
      <c r="F82" s="890"/>
      <c r="G82" s="891"/>
      <c r="H82" s="856"/>
    </row>
    <row r="83" spans="1:8" ht="15.75" thickTop="1"/>
  </sheetData>
  <sheetProtection formatCells="0" formatRows="0"/>
  <mergeCells count="21">
    <mergeCell ref="H68:H82"/>
    <mergeCell ref="D50:G50"/>
    <mergeCell ref="D44:G44"/>
    <mergeCell ref="D40:G40"/>
    <mergeCell ref="B39:G39"/>
    <mergeCell ref="H63:H66"/>
    <mergeCell ref="B69:B82"/>
    <mergeCell ref="E68:G68"/>
    <mergeCell ref="E69:G82"/>
    <mergeCell ref="F64:G64"/>
    <mergeCell ref="F65:G65"/>
    <mergeCell ref="B1:G1"/>
    <mergeCell ref="C37:G37"/>
    <mergeCell ref="H3:H35"/>
    <mergeCell ref="H41:H42"/>
    <mergeCell ref="H55:H61"/>
    <mergeCell ref="B41:B42"/>
    <mergeCell ref="C41:G42"/>
    <mergeCell ref="C45:G46"/>
    <mergeCell ref="C51:G51"/>
    <mergeCell ref="B45:B46"/>
  </mergeCells>
  <conditionalFormatting sqref="D50">
    <cfRule type="expression" dxfId="31" priority="3">
      <formula>C50&gt;A50</formula>
    </cfRule>
  </conditionalFormatting>
  <conditionalFormatting sqref="D44">
    <cfRule type="expression" dxfId="30" priority="2">
      <formula>C44&gt;A44</formula>
    </cfRule>
  </conditionalFormatting>
  <conditionalFormatting sqref="D40">
    <cfRule type="expression" dxfId="29"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4"/>
  <sheetViews>
    <sheetView view="pageBreakPreview" zoomScale="60" zoomScaleNormal="70" workbookViewId="0">
      <selection activeCell="N6" sqref="N6"/>
    </sheetView>
  </sheetViews>
  <sheetFormatPr defaultColWidth="9.140625" defaultRowHeight="25.5"/>
  <cols>
    <col min="1" max="1" width="5.7109375" style="4" customWidth="1"/>
    <col min="2" max="2" width="44.28515625" style="4" customWidth="1"/>
    <col min="3" max="3" width="10.85546875" style="4" customWidth="1"/>
    <col min="4" max="4" width="15.28515625" style="4" bestFit="1" customWidth="1"/>
    <col min="5" max="5" width="18" style="4" customWidth="1"/>
    <col min="6" max="6" width="13.5703125" style="4" customWidth="1"/>
    <col min="7" max="7" width="15.85546875" style="4" customWidth="1"/>
    <col min="8" max="8" width="16" style="4" customWidth="1"/>
    <col min="9" max="9" width="15.140625" style="4" customWidth="1"/>
    <col min="10" max="10" width="14.140625" style="9" customWidth="1"/>
    <col min="11" max="11" width="14.42578125" style="9" customWidth="1"/>
    <col min="12" max="12" width="16.42578125" style="9" customWidth="1"/>
    <col min="13" max="13" width="11.85546875" style="4" customWidth="1"/>
    <col min="14" max="14" width="14.140625" style="4" customWidth="1"/>
    <col min="15" max="15" width="57.28515625" style="4" customWidth="1"/>
    <col min="16" max="16384" width="9.140625" style="4"/>
  </cols>
  <sheetData>
    <row r="1" spans="1:15" ht="35.25" customHeight="1" thickTop="1" thickBot="1">
      <c r="A1" s="5"/>
      <c r="B1" s="900" t="s">
        <v>246</v>
      </c>
      <c r="C1" s="901"/>
      <c r="D1" s="901"/>
      <c r="E1" s="901"/>
      <c r="F1" s="901"/>
      <c r="G1" s="901"/>
      <c r="H1" s="901"/>
      <c r="I1" s="901"/>
      <c r="J1" s="901"/>
      <c r="K1" s="901"/>
      <c r="L1" s="901"/>
      <c r="M1" s="901"/>
      <c r="N1" s="902"/>
      <c r="O1" s="130" t="s">
        <v>207</v>
      </c>
    </row>
    <row r="2" spans="1:15" ht="9" customHeight="1" thickBot="1">
      <c r="A2" s="5"/>
      <c r="B2" s="896"/>
      <c r="C2" s="897"/>
      <c r="D2" s="897"/>
      <c r="E2" s="897"/>
      <c r="F2" s="897"/>
      <c r="G2" s="897"/>
      <c r="H2" s="897"/>
      <c r="I2" s="897"/>
      <c r="J2" s="898"/>
      <c r="K2" s="897"/>
      <c r="L2" s="897"/>
      <c r="M2" s="897"/>
      <c r="N2" s="899"/>
      <c r="O2" s="385"/>
    </row>
    <row r="3" spans="1:15" ht="28.5" customHeight="1" thickBot="1">
      <c r="A3" s="5"/>
      <c r="B3" s="894" t="s">
        <v>65</v>
      </c>
      <c r="C3" s="883"/>
      <c r="D3" s="883"/>
      <c r="E3" s="883"/>
      <c r="F3" s="883"/>
      <c r="G3" s="883"/>
      <c r="H3" s="883"/>
      <c r="I3" s="883"/>
      <c r="J3" s="895"/>
      <c r="K3" s="883"/>
      <c r="L3" s="883"/>
      <c r="M3" s="883"/>
      <c r="N3" s="884"/>
      <c r="O3" s="129" t="s">
        <v>286</v>
      </c>
    </row>
    <row r="4" spans="1:15" ht="30" customHeight="1" thickBot="1">
      <c r="A4" s="5"/>
      <c r="B4" s="386" t="s">
        <v>66</v>
      </c>
      <c r="C4" s="60">
        <v>1</v>
      </c>
      <c r="D4" s="60">
        <v>2</v>
      </c>
      <c r="E4" s="61">
        <v>3</v>
      </c>
      <c r="F4" s="59">
        <v>4</v>
      </c>
      <c r="G4" s="32">
        <v>5</v>
      </c>
      <c r="H4" s="32">
        <v>6</v>
      </c>
      <c r="I4" s="33">
        <v>7</v>
      </c>
      <c r="J4" s="33">
        <v>8</v>
      </c>
      <c r="K4" s="33">
        <v>9</v>
      </c>
      <c r="L4" s="33">
        <v>10</v>
      </c>
      <c r="M4" s="32">
        <v>11</v>
      </c>
      <c r="N4" s="387">
        <v>12</v>
      </c>
      <c r="O4" s="823" t="s">
        <v>405</v>
      </c>
    </row>
    <row r="5" spans="1:15" ht="27" customHeight="1" thickBot="1">
      <c r="A5" s="5"/>
      <c r="B5" s="388" t="s">
        <v>329</v>
      </c>
      <c r="C5" s="720">
        <v>43282</v>
      </c>
      <c r="D5" s="720">
        <v>43313</v>
      </c>
      <c r="E5" s="720">
        <v>43344</v>
      </c>
      <c r="F5" s="720">
        <v>43374</v>
      </c>
      <c r="G5" s="720">
        <v>43405</v>
      </c>
      <c r="H5" s="720">
        <v>43435</v>
      </c>
      <c r="I5" s="720">
        <v>43466</v>
      </c>
      <c r="J5" s="720" t="s">
        <v>759</v>
      </c>
      <c r="K5" s="720">
        <v>43525</v>
      </c>
      <c r="L5" s="720">
        <v>43556</v>
      </c>
      <c r="M5" s="720">
        <v>43586</v>
      </c>
      <c r="N5" s="720">
        <v>43617</v>
      </c>
      <c r="O5" s="824"/>
    </row>
    <row r="6" spans="1:15" ht="33" customHeight="1">
      <c r="A6" s="5"/>
      <c r="B6" s="391" t="s">
        <v>646</v>
      </c>
      <c r="C6" s="392" t="s">
        <v>330</v>
      </c>
      <c r="D6" s="392"/>
      <c r="E6" s="392"/>
      <c r="F6" s="392"/>
      <c r="G6" s="392"/>
      <c r="H6" s="392"/>
      <c r="I6" s="392"/>
      <c r="J6" s="392"/>
      <c r="K6" s="392"/>
      <c r="L6" s="392"/>
      <c r="M6" s="392"/>
      <c r="N6" s="393"/>
      <c r="O6" s="824"/>
    </row>
    <row r="7" spans="1:15" ht="33" customHeight="1">
      <c r="A7" s="5"/>
      <c r="B7" s="389" t="s">
        <v>647</v>
      </c>
      <c r="C7" s="394" t="s">
        <v>330</v>
      </c>
      <c r="D7" s="394"/>
      <c r="E7" s="394"/>
      <c r="F7" s="394"/>
      <c r="G7" s="394"/>
      <c r="H7" s="394"/>
      <c r="I7" s="394"/>
      <c r="J7" s="394"/>
      <c r="K7" s="394"/>
      <c r="L7" s="394"/>
      <c r="M7" s="394"/>
      <c r="N7" s="395"/>
      <c r="O7" s="824"/>
    </row>
    <row r="8" spans="1:15" ht="33" customHeight="1">
      <c r="A8" s="5"/>
      <c r="B8" s="389" t="s">
        <v>746</v>
      </c>
      <c r="C8" s="394"/>
      <c r="D8" s="394"/>
      <c r="E8" s="394"/>
      <c r="F8" s="394"/>
      <c r="G8" s="394"/>
      <c r="H8" s="394" t="s">
        <v>330</v>
      </c>
      <c r="I8" s="394"/>
      <c r="J8" s="394"/>
      <c r="K8" s="394"/>
      <c r="L8" s="394"/>
      <c r="M8" s="394"/>
      <c r="N8" s="395"/>
      <c r="O8" s="824"/>
    </row>
    <row r="9" spans="1:15" ht="33" customHeight="1">
      <c r="A9" s="5"/>
      <c r="B9" s="389" t="s">
        <v>747</v>
      </c>
      <c r="C9" s="394" t="s">
        <v>330</v>
      </c>
      <c r="D9" s="394" t="s">
        <v>330</v>
      </c>
      <c r="E9" s="394" t="s">
        <v>330</v>
      </c>
      <c r="F9" s="394" t="s">
        <v>330</v>
      </c>
      <c r="G9" s="394" t="s">
        <v>330</v>
      </c>
      <c r="H9" s="394" t="s">
        <v>330</v>
      </c>
      <c r="I9" s="394" t="s">
        <v>330</v>
      </c>
      <c r="J9" s="394" t="s">
        <v>330</v>
      </c>
      <c r="K9" s="394" t="s">
        <v>330</v>
      </c>
      <c r="L9" s="394" t="s">
        <v>330</v>
      </c>
      <c r="M9" s="394" t="s">
        <v>330</v>
      </c>
      <c r="N9" s="394" t="s">
        <v>330</v>
      </c>
      <c r="O9" s="824"/>
    </row>
    <row r="10" spans="1:15" ht="33" customHeight="1">
      <c r="A10" s="5"/>
      <c r="B10" s="389" t="s">
        <v>648</v>
      </c>
      <c r="C10" s="394"/>
      <c r="D10" s="394" t="s">
        <v>330</v>
      </c>
      <c r="E10" s="394"/>
      <c r="F10" s="394" t="s">
        <v>330</v>
      </c>
      <c r="G10" s="394"/>
      <c r="H10" s="394"/>
      <c r="I10" s="394"/>
      <c r="J10" s="394"/>
      <c r="K10" s="394"/>
      <c r="L10" s="394"/>
      <c r="M10" s="394"/>
      <c r="N10" s="395"/>
      <c r="O10" s="824"/>
    </row>
    <row r="11" spans="1:15" ht="33" customHeight="1">
      <c r="A11" s="5"/>
      <c r="B11" s="389" t="s">
        <v>748</v>
      </c>
      <c r="C11" s="394" t="s">
        <v>330</v>
      </c>
      <c r="D11" s="394" t="s">
        <v>330</v>
      </c>
      <c r="E11" s="394" t="s">
        <v>330</v>
      </c>
      <c r="F11" s="394" t="s">
        <v>330</v>
      </c>
      <c r="G11" s="394" t="s">
        <v>330</v>
      </c>
      <c r="H11" s="394" t="s">
        <v>330</v>
      </c>
      <c r="I11" s="394" t="s">
        <v>330</v>
      </c>
      <c r="J11" s="394" t="s">
        <v>330</v>
      </c>
      <c r="K11" s="394" t="s">
        <v>330</v>
      </c>
      <c r="L11" s="394" t="s">
        <v>330</v>
      </c>
      <c r="M11" s="394" t="s">
        <v>330</v>
      </c>
      <c r="N11" s="394" t="s">
        <v>330</v>
      </c>
      <c r="O11" s="824"/>
    </row>
    <row r="12" spans="1:15" ht="33" customHeight="1">
      <c r="A12" s="5"/>
      <c r="B12" s="390" t="s">
        <v>744</v>
      </c>
      <c r="C12" s="394" t="s">
        <v>330</v>
      </c>
      <c r="D12" s="394" t="s">
        <v>330</v>
      </c>
      <c r="E12" s="394" t="s">
        <v>330</v>
      </c>
      <c r="F12" s="394" t="s">
        <v>330</v>
      </c>
      <c r="G12" s="394" t="s">
        <v>330</v>
      </c>
      <c r="H12" s="394" t="s">
        <v>330</v>
      </c>
      <c r="I12" s="394" t="s">
        <v>330</v>
      </c>
      <c r="J12" s="394" t="s">
        <v>330</v>
      </c>
      <c r="K12" s="394" t="s">
        <v>330</v>
      </c>
      <c r="L12" s="394" t="s">
        <v>330</v>
      </c>
      <c r="M12" s="394" t="s">
        <v>330</v>
      </c>
      <c r="N12" s="395" t="s">
        <v>330</v>
      </c>
      <c r="O12" s="824"/>
    </row>
    <row r="13" spans="1:15" ht="33" customHeight="1">
      <c r="A13" s="5"/>
      <c r="B13" s="389" t="s">
        <v>649</v>
      </c>
      <c r="C13" s="394" t="s">
        <v>330</v>
      </c>
      <c r="D13" s="394" t="s">
        <v>330</v>
      </c>
      <c r="E13" s="394" t="s">
        <v>330</v>
      </c>
      <c r="F13" s="394" t="s">
        <v>330</v>
      </c>
      <c r="G13" s="394" t="s">
        <v>330</v>
      </c>
      <c r="H13" s="394" t="s">
        <v>330</v>
      </c>
      <c r="I13" s="394" t="s">
        <v>330</v>
      </c>
      <c r="J13" s="394" t="s">
        <v>330</v>
      </c>
      <c r="K13" s="394" t="s">
        <v>330</v>
      </c>
      <c r="L13" s="394" t="s">
        <v>330</v>
      </c>
      <c r="M13" s="394" t="s">
        <v>330</v>
      </c>
      <c r="N13" s="395" t="s">
        <v>330</v>
      </c>
      <c r="O13" s="824"/>
    </row>
    <row r="14" spans="1:15" ht="33" customHeight="1">
      <c r="A14" s="5"/>
      <c r="B14" s="390" t="s">
        <v>745</v>
      </c>
      <c r="C14" s="394"/>
      <c r="D14" s="394"/>
      <c r="E14" s="394"/>
      <c r="F14" s="394"/>
      <c r="G14" s="394"/>
      <c r="H14" s="394"/>
      <c r="I14" s="394"/>
      <c r="J14" s="394"/>
      <c r="K14" s="394" t="s">
        <v>330</v>
      </c>
      <c r="L14" s="394"/>
      <c r="M14" s="394"/>
      <c r="N14" s="395"/>
      <c r="O14" s="824"/>
    </row>
    <row r="15" spans="1:15" ht="33" customHeight="1">
      <c r="A15" s="5"/>
      <c r="B15" s="389" t="s">
        <v>650</v>
      </c>
      <c r="C15" s="394"/>
      <c r="D15" s="394"/>
      <c r="E15" s="394"/>
      <c r="F15" s="394"/>
      <c r="G15" s="394"/>
      <c r="H15" s="394"/>
      <c r="I15" s="394"/>
      <c r="J15" s="394"/>
      <c r="K15" s="394"/>
      <c r="L15" s="394"/>
      <c r="M15" s="394"/>
      <c r="N15" s="395" t="s">
        <v>330</v>
      </c>
      <c r="O15" s="824"/>
    </row>
    <row r="16" spans="1:15">
      <c r="B16" s="10"/>
    </row>
    <row r="21" ht="3" customHeight="1"/>
    <row r="40" ht="41.25" customHeight="1"/>
    <row r="47" ht="44.25" customHeight="1"/>
    <row r="54" ht="42.75" customHeight="1"/>
  </sheetData>
  <sheetProtection formatCells="0" formatRows="0"/>
  <mergeCells count="4">
    <mergeCell ref="B3:N3"/>
    <mergeCell ref="B2:N2"/>
    <mergeCell ref="B1:N1"/>
    <mergeCell ref="O4:O15"/>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7" max="16383" man="1"/>
    <brk id="60"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C10" sqref="C10:F11"/>
    </sheetView>
  </sheetViews>
  <sheetFormatPr defaultColWidth="9.140625" defaultRowHeight="15"/>
  <cols>
    <col min="1" max="1" width="3.5703125" style="190"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03" t="s">
        <v>247</v>
      </c>
      <c r="C1" s="904"/>
      <c r="D1" s="904"/>
      <c r="E1" s="904"/>
      <c r="F1" s="905"/>
      <c r="G1" s="130" t="s">
        <v>207</v>
      </c>
    </row>
    <row r="2" spans="1:7" ht="27.75" customHeight="1" thickBot="1">
      <c r="B2" s="265" t="s">
        <v>68</v>
      </c>
      <c r="C2" s="266"/>
      <c r="D2" s="264"/>
      <c r="E2" s="264"/>
      <c r="F2" s="267"/>
      <c r="G2" s="129" t="s">
        <v>289</v>
      </c>
    </row>
    <row r="3" spans="1:7" ht="258.75" customHeight="1" thickBot="1">
      <c r="B3" s="62" t="s">
        <v>69</v>
      </c>
      <c r="C3" s="935" t="s">
        <v>684</v>
      </c>
      <c r="D3" s="936"/>
      <c r="E3" s="936"/>
      <c r="F3" s="937"/>
      <c r="G3" s="973" t="s">
        <v>290</v>
      </c>
    </row>
    <row r="4" spans="1:7" ht="21.75" customHeight="1">
      <c r="A4" s="190" t="s">
        <v>330</v>
      </c>
      <c r="B4" s="919" t="s">
        <v>345</v>
      </c>
      <c r="C4" s="198" t="s">
        <v>330</v>
      </c>
      <c r="D4" s="938" t="s">
        <v>340</v>
      </c>
      <c r="E4" s="938"/>
      <c r="F4" s="939"/>
      <c r="G4" s="974"/>
    </row>
    <row r="5" spans="1:7" ht="21.75" customHeight="1">
      <c r="B5" s="920"/>
      <c r="C5" s="199"/>
      <c r="D5" s="922" t="s">
        <v>341</v>
      </c>
      <c r="E5" s="922"/>
      <c r="F5" s="923"/>
      <c r="G5" s="974"/>
    </row>
    <row r="6" spans="1:7" ht="21.75" customHeight="1">
      <c r="B6" s="920"/>
      <c r="C6" s="199"/>
      <c r="D6" s="922" t="s">
        <v>342</v>
      </c>
      <c r="E6" s="922"/>
      <c r="F6" s="923"/>
      <c r="G6" s="974"/>
    </row>
    <row r="7" spans="1:7" ht="21.75" customHeight="1">
      <c r="B7" s="920"/>
      <c r="C7" s="199"/>
      <c r="D7" s="922" t="s">
        <v>343</v>
      </c>
      <c r="E7" s="922"/>
      <c r="F7" s="923"/>
      <c r="G7" s="974"/>
    </row>
    <row r="8" spans="1:7" ht="21.75" customHeight="1">
      <c r="B8" s="920"/>
      <c r="C8" s="199" t="s">
        <v>330</v>
      </c>
      <c r="D8" s="922" t="s">
        <v>344</v>
      </c>
      <c r="E8" s="922"/>
      <c r="F8" s="923"/>
      <c r="G8" s="974"/>
    </row>
    <row r="9" spans="1:7" ht="22.5" customHeight="1" thickBot="1">
      <c r="B9" s="921"/>
      <c r="C9" s="200" t="s">
        <v>330</v>
      </c>
      <c r="D9" s="924" t="s">
        <v>651</v>
      </c>
      <c r="E9" s="924"/>
      <c r="F9" s="925"/>
      <c r="G9" s="974"/>
    </row>
    <row r="10" spans="1:7" ht="69" customHeight="1">
      <c r="B10" s="18" t="s">
        <v>230</v>
      </c>
      <c r="C10" s="926" t="s">
        <v>757</v>
      </c>
      <c r="D10" s="927"/>
      <c r="E10" s="927"/>
      <c r="F10" s="928"/>
      <c r="G10" s="850"/>
    </row>
    <row r="11" spans="1:7" ht="65.25" customHeight="1" thickBot="1">
      <c r="B11" s="17" t="s">
        <v>70</v>
      </c>
      <c r="C11" s="929"/>
      <c r="D11" s="930"/>
      <c r="E11" s="930"/>
      <c r="F11" s="931"/>
      <c r="G11" s="850"/>
    </row>
    <row r="12" spans="1:7" ht="43.5" customHeight="1">
      <c r="B12" s="943" t="s">
        <v>71</v>
      </c>
      <c r="C12" s="932" t="s">
        <v>685</v>
      </c>
      <c r="D12" s="933"/>
      <c r="E12" s="933"/>
      <c r="F12" s="934"/>
      <c r="G12" s="850"/>
    </row>
    <row r="13" spans="1:7" ht="77.25" customHeight="1" thickBot="1">
      <c r="B13" s="944"/>
      <c r="C13" s="929"/>
      <c r="D13" s="930"/>
      <c r="E13" s="930"/>
      <c r="F13" s="931"/>
      <c r="G13" s="850"/>
    </row>
    <row r="14" spans="1:7" ht="133.5" customHeight="1" thickBot="1">
      <c r="B14" s="48" t="s">
        <v>223</v>
      </c>
      <c r="C14" s="830" t="s">
        <v>686</v>
      </c>
      <c r="D14" s="983"/>
      <c r="E14" s="983"/>
      <c r="F14" s="831"/>
      <c r="G14" s="850"/>
    </row>
    <row r="15" spans="1:7" ht="16.5" thickBot="1">
      <c r="B15" s="10"/>
      <c r="C15" s="10"/>
      <c r="G15" s="113"/>
    </row>
    <row r="16" spans="1:7" ht="26.25" customHeight="1" thickBot="1">
      <c r="B16" s="265" t="s">
        <v>72</v>
      </c>
      <c r="C16" s="266"/>
      <c r="D16" s="264"/>
      <c r="E16" s="264"/>
      <c r="F16" s="267"/>
      <c r="G16" s="114"/>
    </row>
    <row r="17" spans="1:7" ht="35.25" customHeight="1" thickBot="1">
      <c r="A17" s="189">
        <v>1000</v>
      </c>
      <c r="B17" s="46" t="s">
        <v>1</v>
      </c>
      <c r="C17" s="51">
        <f>LEN(C18)</f>
        <v>264</v>
      </c>
      <c r="D17" s="846" t="str">
        <f>IF(C17&gt;A17,CONCATENATE("Karaktertúllépés! Kérjük, válaszát maximum ",A17," karakterben foglalja össze!"),CONCATENATE("Még beírható karakterek száma:   ",A17-C17))</f>
        <v>Még beírható karakterek száma:   736</v>
      </c>
      <c r="E17" s="1009"/>
      <c r="F17" s="847"/>
    </row>
    <row r="18" spans="1:7" ht="153" customHeight="1">
      <c r="B18" s="18" t="s">
        <v>349</v>
      </c>
      <c r="C18" s="984" t="s">
        <v>687</v>
      </c>
      <c r="D18" s="909"/>
      <c r="E18" s="909"/>
      <c r="F18" s="910"/>
      <c r="G18" s="908" t="s">
        <v>398</v>
      </c>
    </row>
    <row r="19" spans="1:7" ht="137.25" customHeight="1" thickBot="1">
      <c r="B19" s="17"/>
      <c r="C19" s="982"/>
      <c r="D19" s="913"/>
      <c r="E19" s="913"/>
      <c r="F19" s="914"/>
      <c r="G19" s="908"/>
    </row>
    <row r="20" spans="1:7" ht="98.25" customHeight="1" thickBot="1">
      <c r="B20" s="47" t="s">
        <v>73</v>
      </c>
      <c r="C20" s="985" t="s">
        <v>652</v>
      </c>
      <c r="D20" s="986"/>
      <c r="E20" s="986"/>
      <c r="F20" s="987"/>
      <c r="G20" s="908"/>
    </row>
    <row r="21" spans="1:7" ht="81" customHeight="1" thickBot="1">
      <c r="B21" s="53" t="s">
        <v>224</v>
      </c>
      <c r="C21" s="988" t="s">
        <v>652</v>
      </c>
      <c r="D21" s="989"/>
      <c r="E21" s="989"/>
      <c r="F21" s="990"/>
      <c r="G21" s="908"/>
    </row>
    <row r="22" spans="1:7" ht="21.75" customHeight="1">
      <c r="A22" s="190" t="s">
        <v>330</v>
      </c>
      <c r="B22" s="906" t="s">
        <v>74</v>
      </c>
      <c r="C22" s="206"/>
      <c r="D22" s="991" t="s">
        <v>346</v>
      </c>
      <c r="E22" s="938"/>
      <c r="F22" s="939"/>
      <c r="G22" s="969"/>
    </row>
    <row r="23" spans="1:7" ht="21.75" customHeight="1">
      <c r="B23" s="908"/>
      <c r="C23" s="207"/>
      <c r="D23" s="992" t="s">
        <v>347</v>
      </c>
      <c r="E23" s="922"/>
      <c r="F23" s="923"/>
      <c r="G23" s="969"/>
    </row>
    <row r="24" spans="1:7" ht="21.75" customHeight="1" thickBot="1">
      <c r="B24" s="907"/>
      <c r="C24" s="208" t="s">
        <v>330</v>
      </c>
      <c r="D24" s="993" t="s">
        <v>348</v>
      </c>
      <c r="E24" s="924"/>
      <c r="F24" s="925"/>
      <c r="G24" s="969"/>
    </row>
    <row r="25" spans="1:7" ht="30" customHeight="1">
      <c r="B25" s="906" t="s">
        <v>75</v>
      </c>
      <c r="C25" s="868" t="s">
        <v>652</v>
      </c>
      <c r="D25" s="869"/>
      <c r="E25" s="869"/>
      <c r="F25" s="997"/>
      <c r="G25" s="908"/>
    </row>
    <row r="26" spans="1:7" ht="30" customHeight="1" thickBot="1">
      <c r="B26" s="907"/>
      <c r="C26" s="998"/>
      <c r="D26" s="999"/>
      <c r="E26" s="999"/>
      <c r="F26" s="1000"/>
      <c r="G26" s="908"/>
    </row>
    <row r="27" spans="1:7" ht="71.25" customHeight="1" thickBot="1">
      <c r="B27" s="54" t="s">
        <v>76</v>
      </c>
      <c r="C27" s="1001" t="s">
        <v>652</v>
      </c>
      <c r="D27" s="1002"/>
      <c r="E27" s="1002"/>
      <c r="F27" s="1003"/>
      <c r="G27" s="908"/>
    </row>
    <row r="28" spans="1:7" ht="51.75" customHeight="1" thickBot="1">
      <c r="B28" s="52" t="s">
        <v>77</v>
      </c>
      <c r="C28" s="1001" t="s">
        <v>652</v>
      </c>
      <c r="D28" s="1002"/>
      <c r="E28" s="1002"/>
      <c r="F28" s="1003"/>
      <c r="G28" s="908"/>
    </row>
    <row r="29" spans="1:7" ht="20.25" customHeight="1">
      <c r="A29" s="190" t="s">
        <v>330</v>
      </c>
      <c r="B29" s="915" t="s">
        <v>390</v>
      </c>
      <c r="C29" s="198"/>
      <c r="D29" s="938" t="s">
        <v>331</v>
      </c>
      <c r="E29" s="938"/>
      <c r="F29" s="939"/>
    </row>
    <row r="30" spans="1:7" ht="20.25" customHeight="1">
      <c r="B30" s="908"/>
      <c r="C30" s="199"/>
      <c r="D30" s="922" t="s">
        <v>332</v>
      </c>
      <c r="E30" s="922"/>
      <c r="F30" s="923"/>
    </row>
    <row r="31" spans="1:7" ht="20.25" customHeight="1">
      <c r="B31" s="908"/>
      <c r="C31" s="199"/>
      <c r="D31" s="922" t="s">
        <v>333</v>
      </c>
      <c r="E31" s="922"/>
      <c r="F31" s="923"/>
    </row>
    <row r="32" spans="1:7" ht="20.25" customHeight="1" thickBot="1">
      <c r="B32" s="916"/>
      <c r="C32" s="200" t="s">
        <v>330</v>
      </c>
      <c r="D32" s="924" t="s">
        <v>334</v>
      </c>
      <c r="E32" s="924"/>
      <c r="F32" s="925"/>
    </row>
    <row r="33" spans="1:6" ht="20.25" customHeight="1">
      <c r="A33" s="190" t="s">
        <v>330</v>
      </c>
      <c r="B33" s="915" t="s">
        <v>391</v>
      </c>
      <c r="C33" s="198"/>
      <c r="D33" s="938" t="s">
        <v>335</v>
      </c>
      <c r="E33" s="938"/>
      <c r="F33" s="939"/>
    </row>
    <row r="34" spans="1:6" ht="20.25" customHeight="1">
      <c r="B34" s="908"/>
      <c r="C34" s="199"/>
      <c r="D34" s="922" t="s">
        <v>336</v>
      </c>
      <c r="E34" s="922"/>
      <c r="F34" s="923"/>
    </row>
    <row r="35" spans="1:6" ht="20.25" customHeight="1">
      <c r="B35" s="908"/>
      <c r="C35" s="199" t="s">
        <v>330</v>
      </c>
      <c r="D35" s="922" t="s">
        <v>337</v>
      </c>
      <c r="E35" s="922"/>
      <c r="F35" s="923"/>
    </row>
    <row r="36" spans="1:6" ht="20.25" customHeight="1">
      <c r="B36" s="908"/>
      <c r="C36" s="199" t="s">
        <v>330</v>
      </c>
      <c r="D36" s="922" t="s">
        <v>338</v>
      </c>
      <c r="E36" s="922"/>
      <c r="F36" s="923"/>
    </row>
    <row r="37" spans="1:6" ht="20.25" customHeight="1" thickBot="1">
      <c r="B37" s="916"/>
      <c r="C37" s="200" t="s">
        <v>330</v>
      </c>
      <c r="D37" s="924" t="s">
        <v>339</v>
      </c>
      <c r="E37" s="924"/>
      <c r="F37" s="925"/>
    </row>
    <row r="38" spans="1:6" ht="27" customHeight="1" thickBot="1">
      <c r="A38" s="189">
        <v>500</v>
      </c>
      <c r="B38" s="46" t="s">
        <v>1</v>
      </c>
      <c r="C38" s="221">
        <f>LEN(C39)</f>
        <v>91</v>
      </c>
      <c r="D38" s="1006" t="str">
        <f>IF(C38&gt;A38,CONCATENATE("Karaktertúllépés! Kérjük, válaszát maximum ",A38," karakterben foglalja össze!"),CONCATENATE("Még beírható karakterek száma:   ",A38-C38))</f>
        <v>Még beírható karakterek száma:   409</v>
      </c>
      <c r="E38" s="1007"/>
      <c r="F38" s="1008"/>
    </row>
    <row r="39" spans="1:6" ht="151.5" customHeight="1" thickBot="1">
      <c r="B39" s="50" t="s">
        <v>291</v>
      </c>
      <c r="C39" s="994" t="s">
        <v>653</v>
      </c>
      <c r="D39" s="995"/>
      <c r="E39" s="995"/>
      <c r="F39" s="996"/>
    </row>
    <row r="40" spans="1:6" ht="159.75" customHeight="1" thickBot="1">
      <c r="B40" s="50" t="s">
        <v>292</v>
      </c>
      <c r="C40" s="837" t="s">
        <v>688</v>
      </c>
      <c r="D40" s="843"/>
      <c r="E40" s="843"/>
      <c r="F40" s="838"/>
    </row>
    <row r="41" spans="1:6" ht="15.75" thickBot="1">
      <c r="B41" s="26"/>
      <c r="C41" s="26"/>
      <c r="D41" s="27"/>
      <c r="E41" s="28"/>
      <c r="F41" s="27"/>
    </row>
    <row r="42" spans="1:6" ht="34.5" customHeight="1" thickBot="1">
      <c r="A42" s="189">
        <v>250</v>
      </c>
      <c r="B42" s="46" t="s">
        <v>1</v>
      </c>
      <c r="C42" s="917">
        <f>LEN(E43)</f>
        <v>150</v>
      </c>
      <c r="D42" s="918"/>
      <c r="E42" s="846" t="str">
        <f>IF(C42&gt;A42,CONCATENATE("Karaktertúllépés! Kérjük, válaszát maximum ",A42," karakterben foglalja össze!"),CONCATENATE("Még beírható karakterek száma:   ",A42-C42))</f>
        <v>Még beírható karakterek száma:   100</v>
      </c>
      <c r="F42" s="847"/>
    </row>
    <row r="43" spans="1:6" ht="42" customHeight="1">
      <c r="A43" s="190" t="s">
        <v>330</v>
      </c>
      <c r="B43" s="945" t="s">
        <v>375</v>
      </c>
      <c r="C43" s="198" t="s">
        <v>330</v>
      </c>
      <c r="D43" s="195" t="s">
        <v>351</v>
      </c>
      <c r="E43" s="909" t="s">
        <v>689</v>
      </c>
      <c r="F43" s="910"/>
    </row>
    <row r="44" spans="1:6" ht="42" customHeight="1">
      <c r="B44" s="945"/>
      <c r="C44" s="199"/>
      <c r="D44" s="196" t="s">
        <v>355</v>
      </c>
      <c r="E44" s="911"/>
      <c r="F44" s="912"/>
    </row>
    <row r="45" spans="1:6" ht="42" customHeight="1">
      <c r="B45" s="945"/>
      <c r="C45" s="199"/>
      <c r="D45" s="196" t="s">
        <v>352</v>
      </c>
      <c r="E45" s="911"/>
      <c r="F45" s="912"/>
    </row>
    <row r="46" spans="1:6" ht="42" customHeight="1">
      <c r="B46" s="945"/>
      <c r="C46" s="199"/>
      <c r="D46" s="196" t="s">
        <v>354</v>
      </c>
      <c r="E46" s="911"/>
      <c r="F46" s="912"/>
    </row>
    <row r="47" spans="1:6" ht="42" customHeight="1" thickBot="1">
      <c r="B47" s="946"/>
      <c r="C47" s="200"/>
      <c r="D47" s="197" t="s">
        <v>353</v>
      </c>
      <c r="E47" s="913"/>
      <c r="F47" s="914"/>
    </row>
    <row r="48" spans="1:6" ht="16.5" thickBot="1">
      <c r="B48" s="10"/>
      <c r="C48" s="10"/>
    </row>
    <row r="49" spans="2:7" ht="25.5" customHeight="1">
      <c r="B49" s="272" t="s">
        <v>78</v>
      </c>
      <c r="C49" s="273"/>
      <c r="D49" s="259"/>
      <c r="E49" s="259"/>
      <c r="F49" s="274"/>
    </row>
    <row r="50" spans="2:7" ht="27" customHeight="1" thickBot="1">
      <c r="B50" s="947" t="s">
        <v>79</v>
      </c>
      <c r="C50" s="948"/>
      <c r="D50" s="948"/>
      <c r="E50" s="948"/>
      <c r="F50" s="949"/>
    </row>
    <row r="51" spans="2:7" ht="60.75" customHeight="1" thickBot="1">
      <c r="B51" s="21" t="s">
        <v>328</v>
      </c>
      <c r="C51" s="1004" t="s">
        <v>81</v>
      </c>
      <c r="D51" s="1005"/>
      <c r="E51" s="160" t="s">
        <v>82</v>
      </c>
      <c r="F51" s="170" t="s">
        <v>83</v>
      </c>
      <c r="G51" s="975" t="s">
        <v>399</v>
      </c>
    </row>
    <row r="52" spans="2:7" ht="60.75" customHeight="1" thickBot="1">
      <c r="B52" s="165" t="s">
        <v>655</v>
      </c>
      <c r="C52" s="982" t="s">
        <v>654</v>
      </c>
      <c r="D52" s="914"/>
      <c r="E52" s="152" t="s">
        <v>656</v>
      </c>
      <c r="F52" s="158" t="s">
        <v>657</v>
      </c>
      <c r="G52" s="976"/>
    </row>
    <row r="53" spans="2:7" ht="60.75" customHeight="1" thickBot="1">
      <c r="B53" s="718" t="s">
        <v>702</v>
      </c>
      <c r="C53" s="982" t="s">
        <v>654</v>
      </c>
      <c r="D53" s="914"/>
      <c r="E53" s="152" t="s">
        <v>656</v>
      </c>
      <c r="F53" s="158" t="s">
        <v>657</v>
      </c>
      <c r="G53" s="976"/>
    </row>
    <row r="54" spans="2:7" ht="60.75" customHeight="1" thickBot="1">
      <c r="B54" s="719" t="s">
        <v>704</v>
      </c>
      <c r="C54" s="982" t="s">
        <v>654</v>
      </c>
      <c r="D54" s="914"/>
      <c r="E54" s="152" t="s">
        <v>656</v>
      </c>
      <c r="F54" s="158" t="s">
        <v>657</v>
      </c>
      <c r="G54" s="977"/>
    </row>
    <row r="55" spans="2:7">
      <c r="B55" s="23"/>
      <c r="C55" s="23"/>
    </row>
    <row r="56" spans="2:7" ht="48" customHeight="1" thickBot="1">
      <c r="B56" s="968" t="s">
        <v>425</v>
      </c>
      <c r="C56" s="968"/>
      <c r="D56" s="968"/>
      <c r="E56" s="968"/>
      <c r="F56" s="968"/>
    </row>
    <row r="57" spans="2:7" ht="23.25" customHeight="1" thickBot="1">
      <c r="B57" s="157" t="s">
        <v>84</v>
      </c>
      <c r="C57" s="1004" t="s">
        <v>85</v>
      </c>
      <c r="D57" s="1005"/>
      <c r="E57" s="163" t="s">
        <v>86</v>
      </c>
      <c r="F57" s="122" t="s">
        <v>88</v>
      </c>
    </row>
    <row r="58" spans="2:7" ht="31.5" customHeight="1">
      <c r="B58" s="30" t="s">
        <v>80</v>
      </c>
      <c r="C58" s="1015" t="s">
        <v>87</v>
      </c>
      <c r="D58" s="955"/>
      <c r="E58" s="119" t="s">
        <v>87</v>
      </c>
      <c r="F58" s="120" t="s">
        <v>87</v>
      </c>
    </row>
    <row r="59" spans="2:7" ht="27" customHeight="1">
      <c r="B59" s="153"/>
      <c r="C59" s="1016" t="s">
        <v>690</v>
      </c>
      <c r="D59" s="1017"/>
      <c r="E59" s="702" t="s">
        <v>701</v>
      </c>
      <c r="F59" s="154" t="s">
        <v>703</v>
      </c>
    </row>
    <row r="60" spans="2:7" ht="27" customHeight="1">
      <c r="B60" s="153" t="s">
        <v>700</v>
      </c>
      <c r="C60" s="1018">
        <v>60000</v>
      </c>
      <c r="D60" s="1019"/>
      <c r="E60" s="540">
        <v>250000</v>
      </c>
      <c r="F60" s="541">
        <v>100000</v>
      </c>
    </row>
    <row r="61" spans="2:7" ht="27" customHeight="1">
      <c r="B61" s="153" t="s">
        <v>702</v>
      </c>
      <c r="C61" s="1018">
        <v>65000</v>
      </c>
      <c r="D61" s="1019"/>
      <c r="E61" s="540">
        <v>120000</v>
      </c>
      <c r="F61" s="541">
        <v>70000</v>
      </c>
    </row>
    <row r="62" spans="2:7" ht="27" customHeight="1" thickBot="1">
      <c r="B62" s="155" t="s">
        <v>704</v>
      </c>
      <c r="C62" s="1020">
        <v>59900</v>
      </c>
      <c r="D62" s="1021"/>
      <c r="E62" s="542">
        <v>79900</v>
      </c>
      <c r="F62" s="543">
        <v>49900</v>
      </c>
    </row>
    <row r="63" spans="2:7" ht="27" customHeight="1" thickBot="1">
      <c r="B63" s="169" t="s">
        <v>89</v>
      </c>
      <c r="C63" s="1022">
        <v>45000</v>
      </c>
      <c r="D63" s="1023"/>
      <c r="E63" s="544">
        <v>75000</v>
      </c>
      <c r="F63" s="545">
        <v>46900</v>
      </c>
    </row>
    <row r="64" spans="2:7" ht="11.25" customHeight="1" thickBot="1">
      <c r="B64" s="10"/>
      <c r="C64" s="10"/>
    </row>
    <row r="65" spans="1:7" ht="63.75" customHeight="1" thickBot="1">
      <c r="B65" s="22" t="s">
        <v>426</v>
      </c>
      <c r="C65" s="837" t="s">
        <v>715</v>
      </c>
      <c r="D65" s="843"/>
      <c r="E65" s="843"/>
      <c r="F65" s="838"/>
    </row>
    <row r="66" spans="1:7" ht="57" customHeight="1" thickBot="1">
      <c r="B66" s="121" t="s">
        <v>90</v>
      </c>
      <c r="C66" s="837" t="s">
        <v>691</v>
      </c>
      <c r="D66" s="843"/>
      <c r="E66" s="843"/>
      <c r="F66" s="838"/>
    </row>
    <row r="67" spans="1:7" ht="31.5" customHeight="1">
      <c r="B67" s="965" t="s">
        <v>91</v>
      </c>
      <c r="C67" s="919" t="s">
        <v>429</v>
      </c>
      <c r="D67" s="1010"/>
      <c r="E67" s="978" t="s">
        <v>464</v>
      </c>
      <c r="F67" s="980" t="s">
        <v>743</v>
      </c>
    </row>
    <row r="68" spans="1:7" ht="15.75" thickBot="1">
      <c r="B68" s="966"/>
      <c r="C68" s="1011"/>
      <c r="D68" s="1012"/>
      <c r="E68" s="979"/>
      <c r="F68" s="981"/>
    </row>
    <row r="69" spans="1:7" ht="48.75" customHeight="1" thickBot="1">
      <c r="B69" s="967"/>
      <c r="C69" s="1013">
        <v>0.5</v>
      </c>
      <c r="D69" s="1014"/>
      <c r="E69" s="156">
        <v>0.6</v>
      </c>
      <c r="F69" s="156">
        <v>0.7</v>
      </c>
    </row>
    <row r="70" spans="1:7" ht="16.5" thickBot="1">
      <c r="B70" s="10"/>
      <c r="C70" s="10"/>
    </row>
    <row r="71" spans="1:7" ht="25.5" customHeight="1">
      <c r="B71" s="275" t="s">
        <v>92</v>
      </c>
      <c r="C71" s="276"/>
      <c r="D71" s="125"/>
      <c r="E71" s="125"/>
      <c r="F71" s="126"/>
    </row>
    <row r="72" spans="1:7" ht="19.5" customHeight="1" thickBot="1">
      <c r="B72" s="940" t="s">
        <v>93</v>
      </c>
      <c r="C72" s="941"/>
      <c r="D72" s="941"/>
      <c r="E72" s="941"/>
      <c r="F72" s="942"/>
    </row>
    <row r="73" spans="1:7" ht="29.25" customHeight="1" thickBot="1">
      <c r="A73" s="189">
        <v>500</v>
      </c>
      <c r="B73" s="46" t="s">
        <v>1</v>
      </c>
      <c r="C73" s="146">
        <f>LEN(C74)</f>
        <v>255</v>
      </c>
      <c r="D73" s="846" t="str">
        <f>IF(C73&gt;A73,CONCATENATE("Karaktertúllépés! Kérjük, válaszát maximum ",A73," karakterben foglalja össze!"),CONCATENATE("Még beírható karakterek száma:   ",A73-C73))</f>
        <v>Még beírható karakterek száma:   245</v>
      </c>
      <c r="E73" s="1009"/>
      <c r="F73" s="847"/>
      <c r="G73" s="970" t="s">
        <v>400</v>
      </c>
    </row>
    <row r="74" spans="1:7" ht="129" customHeight="1" thickBot="1">
      <c r="B74" s="22" t="s">
        <v>219</v>
      </c>
      <c r="C74" s="994" t="s">
        <v>692</v>
      </c>
      <c r="D74" s="995"/>
      <c r="E74" s="995"/>
      <c r="F74" s="996"/>
      <c r="G74" s="971"/>
    </row>
    <row r="75" spans="1:7" ht="57" customHeight="1" thickBot="1">
      <c r="B75" s="20" t="s">
        <v>94</v>
      </c>
      <c r="C75" s="837" t="s">
        <v>693</v>
      </c>
      <c r="D75" s="843"/>
      <c r="E75" s="843"/>
      <c r="F75" s="838"/>
      <c r="G75" s="972"/>
    </row>
    <row r="76" spans="1:7" ht="6" customHeight="1">
      <c r="B76" s="10"/>
      <c r="C76" s="10"/>
    </row>
    <row r="77" spans="1:7" ht="24" thickBot="1">
      <c r="B77" s="25" t="s">
        <v>95</v>
      </c>
      <c r="C77" s="25"/>
    </row>
    <row r="78" spans="1:7" ht="38.25" customHeight="1" thickBot="1">
      <c r="A78" s="189">
        <v>500</v>
      </c>
      <c r="B78" s="46" t="s">
        <v>1</v>
      </c>
      <c r="C78" s="146">
        <f>LEN(C79)</f>
        <v>47</v>
      </c>
      <c r="D78" s="846" t="str">
        <f>IF(C78&gt;A78,CONCATENATE("Karaktertúllépés! Kérjük, válaszát maximum ",A78," karakterben foglalja össze!"),CONCATENATE("Még beírható karakterek száma:   ",A78-C78))</f>
        <v>Még beírható karakterek száma:   453</v>
      </c>
      <c r="E78" s="1009"/>
      <c r="F78" s="847"/>
      <c r="G78" s="970" t="s">
        <v>401</v>
      </c>
    </row>
    <row r="79" spans="1:7" ht="129.75" customHeight="1" thickBot="1">
      <c r="B79" s="31" t="s">
        <v>350</v>
      </c>
      <c r="C79" s="994" t="s">
        <v>658</v>
      </c>
      <c r="D79" s="995"/>
      <c r="E79" s="995"/>
      <c r="F79" s="996"/>
      <c r="G79" s="971"/>
    </row>
    <row r="80" spans="1:7" ht="57" customHeight="1" thickBot="1">
      <c r="B80" s="62" t="s">
        <v>96</v>
      </c>
      <c r="C80" s="837" t="s">
        <v>659</v>
      </c>
      <c r="D80" s="843"/>
      <c r="E80" s="843"/>
      <c r="F80" s="838"/>
      <c r="G80" s="972"/>
    </row>
    <row r="81" spans="2:6" ht="9" customHeight="1" thickBot="1">
      <c r="B81" s="10"/>
      <c r="C81" s="10"/>
    </row>
    <row r="82" spans="2:6" ht="18.75" customHeight="1">
      <c r="B82" s="953" t="s">
        <v>97</v>
      </c>
      <c r="C82" s="954"/>
      <c r="D82" s="955"/>
      <c r="E82" s="956" t="s">
        <v>98</v>
      </c>
      <c r="F82" s="957"/>
    </row>
    <row r="83" spans="2:6" ht="66" customHeight="1">
      <c r="B83" s="962" t="s">
        <v>660</v>
      </c>
      <c r="C83" s="963"/>
      <c r="D83" s="964"/>
      <c r="E83" s="958" t="s">
        <v>661</v>
      </c>
      <c r="F83" s="959"/>
    </row>
    <row r="84" spans="2:6" ht="66" customHeight="1">
      <c r="B84" s="962" t="s">
        <v>694</v>
      </c>
      <c r="C84" s="963"/>
      <c r="D84" s="964"/>
      <c r="E84" s="958" t="s">
        <v>662</v>
      </c>
      <c r="F84" s="959"/>
    </row>
    <row r="85" spans="2:6" ht="66" customHeight="1">
      <c r="B85" s="962" t="s">
        <v>664</v>
      </c>
      <c r="C85" s="963"/>
      <c r="D85" s="964"/>
      <c r="E85" s="958" t="s">
        <v>663</v>
      </c>
      <c r="F85" s="959"/>
    </row>
    <row r="86" spans="2:6" ht="66" customHeight="1" thickBot="1">
      <c r="B86" s="950" t="s">
        <v>696</v>
      </c>
      <c r="C86" s="951"/>
      <c r="D86" s="952"/>
      <c r="E86" s="960" t="s">
        <v>695</v>
      </c>
      <c r="F86" s="961"/>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28" priority="10">
      <formula>C38&gt;A38</formula>
    </cfRule>
  </conditionalFormatting>
  <conditionalFormatting sqref="D38">
    <cfRule type="expression" dxfId="27" priority="9">
      <formula>C38&gt;A38</formula>
    </cfRule>
  </conditionalFormatting>
  <conditionalFormatting sqref="D17">
    <cfRule type="expression" dxfId="26" priority="6">
      <formula>C17&gt;A17</formula>
    </cfRule>
  </conditionalFormatting>
  <conditionalFormatting sqref="D17">
    <cfRule type="expression" dxfId="25" priority="5">
      <formula>C17&gt;A17</formula>
    </cfRule>
  </conditionalFormatting>
  <conditionalFormatting sqref="D73">
    <cfRule type="expression" dxfId="24" priority="4">
      <formula>C73&gt;A73</formula>
    </cfRule>
  </conditionalFormatting>
  <conditionalFormatting sqref="D73">
    <cfRule type="expression" dxfId="23" priority="3">
      <formula>C73&gt;A73</formula>
    </cfRule>
  </conditionalFormatting>
  <conditionalFormatting sqref="D78">
    <cfRule type="expression" dxfId="22" priority="2">
      <formula>C78&gt;A78</formula>
    </cfRule>
  </conditionalFormatting>
  <conditionalFormatting sqref="D78">
    <cfRule type="expression" dxfId="21" priority="1">
      <formula>C78&gt;A78</formula>
    </cfRule>
  </conditionalFormatting>
  <conditionalFormatting sqref="E42">
    <cfRule type="expression" dxfId="20"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6" zoomScale="70" zoomScaleNormal="80" zoomScaleSheetLayoutView="70" workbookViewId="0">
      <selection activeCell="O19" sqref="O19"/>
    </sheetView>
  </sheetViews>
  <sheetFormatPr defaultColWidth="9.140625" defaultRowHeight="25.5"/>
  <cols>
    <col min="1" max="1" width="2.85546875" style="4" customWidth="1"/>
    <col min="2" max="2" width="25.85546875" style="24" customWidth="1"/>
    <col min="3" max="3" width="10.85546875" style="4" customWidth="1"/>
    <col min="4" max="4" width="11.140625" style="4" customWidth="1"/>
    <col min="5" max="5" width="11.28515625" style="4" customWidth="1"/>
    <col min="6" max="6" width="9.140625" style="4" customWidth="1"/>
    <col min="7" max="7" width="10.140625" style="4" customWidth="1"/>
    <col min="8" max="8" width="10.85546875" style="4" customWidth="1"/>
    <col min="9" max="9" width="9.28515625" style="4" customWidth="1"/>
    <col min="10" max="10" width="11.140625" style="9" customWidth="1"/>
    <col min="11" max="11" width="10.85546875" style="9" customWidth="1"/>
    <col min="12" max="12" width="9.42578125" style="9" customWidth="1"/>
    <col min="13" max="13" width="10.5703125" style="4" customWidth="1"/>
    <col min="14" max="14" width="9.85546875" style="4" customWidth="1"/>
    <col min="15" max="15" width="13.5703125" style="4" customWidth="1"/>
    <col min="16" max="16" width="76.28515625" style="4" customWidth="1"/>
    <col min="17" max="16384" width="9.140625" style="4"/>
  </cols>
  <sheetData>
    <row r="1" spans="1:16" ht="27.75" customHeight="1" thickTop="1" thickBot="1">
      <c r="B1" s="857" t="s">
        <v>250</v>
      </c>
      <c r="C1" s="858"/>
      <c r="D1" s="858"/>
      <c r="E1" s="858"/>
      <c r="F1" s="858"/>
      <c r="G1" s="858"/>
      <c r="H1" s="858"/>
      <c r="I1" s="858"/>
      <c r="J1" s="858"/>
      <c r="K1" s="858"/>
      <c r="L1" s="858"/>
      <c r="M1" s="858"/>
      <c r="N1" s="858"/>
      <c r="O1" s="859"/>
      <c r="P1" s="130" t="s">
        <v>207</v>
      </c>
    </row>
    <row r="2" spans="1:16" ht="21.75" customHeight="1" thickBot="1">
      <c r="B2" s="396"/>
      <c r="C2" s="172"/>
      <c r="D2" s="172"/>
      <c r="E2" s="172"/>
      <c r="F2" s="172"/>
      <c r="G2" s="172"/>
      <c r="H2" s="172"/>
      <c r="I2" s="172"/>
      <c r="J2" s="173"/>
      <c r="K2" s="173"/>
      <c r="L2" s="173"/>
      <c r="M2" s="172"/>
      <c r="N2" s="172"/>
      <c r="O2" s="397"/>
      <c r="P2" s="129" t="s">
        <v>289</v>
      </c>
    </row>
    <row r="3" spans="1:16" ht="239.25" hidden="1" customHeight="1" thickBot="1">
      <c r="B3" s="398" t="s">
        <v>99</v>
      </c>
      <c r="C3" s="36"/>
      <c r="D3" s="36"/>
      <c r="E3" s="36"/>
      <c r="F3" s="36"/>
      <c r="G3" s="36"/>
      <c r="H3" s="36"/>
      <c r="I3" s="36"/>
      <c r="J3" s="127"/>
      <c r="K3" s="127"/>
      <c r="L3" s="127"/>
      <c r="M3" s="36"/>
      <c r="N3" s="36"/>
      <c r="O3" s="399"/>
      <c r="P3" s="124"/>
    </row>
    <row r="4" spans="1:16" ht="27" customHeight="1">
      <c r="A4" s="190" t="s">
        <v>330</v>
      </c>
      <c r="B4" s="1024" t="s">
        <v>381</v>
      </c>
      <c r="C4" s="206"/>
      <c r="D4" s="1034" t="s">
        <v>294</v>
      </c>
      <c r="E4" s="1035"/>
      <c r="F4" s="1035"/>
      <c r="G4" s="1035"/>
      <c r="H4" s="1035"/>
      <c r="I4" s="1035"/>
      <c r="J4" s="1035"/>
      <c r="K4" s="1035"/>
      <c r="L4" s="1035"/>
      <c r="M4" s="1035"/>
      <c r="N4" s="1035"/>
      <c r="O4" s="1036"/>
      <c r="P4" s="1031" t="s">
        <v>406</v>
      </c>
    </row>
    <row r="5" spans="1:16" ht="27" customHeight="1">
      <c r="B5" s="866"/>
      <c r="C5" s="207"/>
      <c r="D5" s="1037" t="s">
        <v>295</v>
      </c>
      <c r="E5" s="1037"/>
      <c r="F5" s="1037"/>
      <c r="G5" s="1037"/>
      <c r="H5" s="1037"/>
      <c r="I5" s="1037"/>
      <c r="J5" s="1037"/>
      <c r="K5" s="1037"/>
      <c r="L5" s="1037"/>
      <c r="M5" s="1037"/>
      <c r="N5" s="1037"/>
      <c r="O5" s="1038"/>
      <c r="P5" s="1032"/>
    </row>
    <row r="6" spans="1:16" ht="27" customHeight="1">
      <c r="B6" s="866"/>
      <c r="C6" s="207" t="s">
        <v>330</v>
      </c>
      <c r="D6" s="1037" t="s">
        <v>296</v>
      </c>
      <c r="E6" s="1037"/>
      <c r="F6" s="1037"/>
      <c r="G6" s="1037"/>
      <c r="H6" s="1037"/>
      <c r="I6" s="1037"/>
      <c r="J6" s="1037"/>
      <c r="K6" s="1037"/>
      <c r="L6" s="1037"/>
      <c r="M6" s="1037"/>
      <c r="N6" s="1037"/>
      <c r="O6" s="1038"/>
      <c r="P6" s="1032"/>
    </row>
    <row r="7" spans="1:16" ht="27" customHeight="1" thickBot="1">
      <c r="B7" s="473" t="str">
        <f>IF(COUNTA(C4:C7)&gt;1,"csak 1 választ jelöljön!","kérjük, X-szel jelölje!")</f>
        <v>kérjük, X-szel jelölje!</v>
      </c>
      <c r="C7" s="208"/>
      <c r="D7" s="1039" t="s">
        <v>297</v>
      </c>
      <c r="E7" s="1039"/>
      <c r="F7" s="1039"/>
      <c r="G7" s="1039"/>
      <c r="H7" s="1039"/>
      <c r="I7" s="1039"/>
      <c r="J7" s="1039"/>
      <c r="K7" s="1039"/>
      <c r="L7" s="1039"/>
      <c r="M7" s="1039"/>
      <c r="N7" s="1039"/>
      <c r="O7" s="1040"/>
      <c r="P7" s="1032"/>
    </row>
    <row r="8" spans="1:16" ht="27" customHeight="1" thickBot="1">
      <c r="B8" s="464" t="s">
        <v>382</v>
      </c>
      <c r="C8" s="36"/>
      <c r="D8" s="36"/>
      <c r="E8" s="36"/>
      <c r="F8" s="36"/>
      <c r="G8" s="36"/>
      <c r="H8" s="36"/>
      <c r="I8" s="36"/>
      <c r="J8" s="127"/>
      <c r="K8" s="127"/>
      <c r="L8" s="127"/>
      <c r="M8" s="36"/>
      <c r="N8" s="36"/>
      <c r="O8" s="399"/>
      <c r="P8" s="1032"/>
    </row>
    <row r="9" spans="1:16" ht="26.25" customHeight="1" thickBot="1">
      <c r="A9" s="231">
        <v>500</v>
      </c>
      <c r="B9" s="474" t="s">
        <v>1</v>
      </c>
      <c r="C9" s="146">
        <f>LEN(C10)</f>
        <v>353</v>
      </c>
      <c r="D9" s="846" t="str">
        <f>IF(C9&gt;A9,CONCATENATE("Karaktertúllépés! Kérjük, válaszát maximum ",A9," karakterben foglalja össze!"),CONCATENATE("Még beírható karakterek száma:   ",A9-C9))</f>
        <v>Még beírható karakterek száma:   147</v>
      </c>
      <c r="E9" s="1009"/>
      <c r="F9" s="1009"/>
      <c r="G9" s="1009"/>
      <c r="H9" s="1009"/>
      <c r="I9" s="1009"/>
      <c r="J9" s="1009"/>
      <c r="K9" s="1009"/>
      <c r="L9" s="1009"/>
      <c r="M9" s="1009"/>
      <c r="N9" s="1009"/>
      <c r="O9" s="1077"/>
      <c r="P9" s="1032"/>
    </row>
    <row r="10" spans="1:16" ht="139.5" customHeight="1" thickBot="1">
      <c r="B10" s="473" t="s">
        <v>236</v>
      </c>
      <c r="C10" s="982" t="s">
        <v>716</v>
      </c>
      <c r="D10" s="913"/>
      <c r="E10" s="913"/>
      <c r="F10" s="913"/>
      <c r="G10" s="913"/>
      <c r="H10" s="913"/>
      <c r="I10" s="913"/>
      <c r="J10" s="913"/>
      <c r="K10" s="913"/>
      <c r="L10" s="913"/>
      <c r="M10" s="913"/>
      <c r="N10" s="913"/>
      <c r="O10" s="1079"/>
      <c r="P10" s="1033"/>
    </row>
    <row r="11" spans="1:16" ht="8.25" customHeight="1">
      <c r="B11" s="464"/>
      <c r="C11" s="36"/>
      <c r="D11" s="36"/>
      <c r="E11" s="36"/>
      <c r="F11" s="36"/>
      <c r="G11" s="36"/>
      <c r="H11" s="36"/>
      <c r="I11" s="36"/>
      <c r="J11" s="127"/>
      <c r="K11" s="127"/>
      <c r="L11" s="127"/>
      <c r="M11" s="36"/>
      <c r="N11" s="36"/>
      <c r="O11" s="399"/>
      <c r="P11" s="35"/>
    </row>
    <row r="12" spans="1:16" ht="26.25" thickBot="1">
      <c r="B12" s="464" t="s">
        <v>100</v>
      </c>
      <c r="C12" s="36"/>
      <c r="D12" s="36"/>
      <c r="E12" s="36"/>
      <c r="F12" s="36"/>
      <c r="G12" s="36"/>
      <c r="H12" s="36"/>
      <c r="I12" s="36"/>
      <c r="J12" s="127"/>
      <c r="K12" s="127"/>
      <c r="L12" s="127"/>
      <c r="M12" s="36"/>
      <c r="N12" s="36"/>
      <c r="O12" s="399"/>
      <c r="P12" s="35"/>
    </row>
    <row r="13" spans="1:16" ht="32.25" customHeight="1" thickBot="1">
      <c r="A13" s="231">
        <v>1000</v>
      </c>
      <c r="B13" s="474" t="s">
        <v>1</v>
      </c>
      <c r="C13" s="146">
        <f>LEN(C14)</f>
        <v>712</v>
      </c>
      <c r="D13" s="846" t="str">
        <f>IF(C13&gt;A13,CONCATENATE("Karaktertúllépés! Kérjük, válaszát maximum ",A13," karakterben foglalja össze!"),CONCATENATE("Még beírható karakterek száma:   ",A13-C13))</f>
        <v>Még beírható karakterek száma:   288</v>
      </c>
      <c r="E13" s="1009"/>
      <c r="F13" s="1009"/>
      <c r="G13" s="1009"/>
      <c r="H13" s="1009"/>
      <c r="I13" s="1009"/>
      <c r="J13" s="1009"/>
      <c r="K13" s="1009"/>
      <c r="L13" s="1009"/>
      <c r="M13" s="1009"/>
      <c r="N13" s="1009"/>
      <c r="O13" s="1077"/>
    </row>
    <row r="14" spans="1:16" ht="280.5" customHeight="1" thickBot="1">
      <c r="B14" s="473" t="s">
        <v>256</v>
      </c>
      <c r="C14" s="994" t="s">
        <v>717</v>
      </c>
      <c r="D14" s="995"/>
      <c r="E14" s="995"/>
      <c r="F14" s="995"/>
      <c r="G14" s="995"/>
      <c r="H14" s="995"/>
      <c r="I14" s="995"/>
      <c r="J14" s="995"/>
      <c r="K14" s="995"/>
      <c r="L14" s="995"/>
      <c r="M14" s="995"/>
      <c r="N14" s="995"/>
      <c r="O14" s="1078"/>
      <c r="P14" s="269" t="s">
        <v>299</v>
      </c>
    </row>
    <row r="15" spans="1:16" ht="18.75" customHeight="1" thickBot="1">
      <c r="B15" s="398"/>
      <c r="C15" s="36"/>
      <c r="D15" s="36"/>
      <c r="E15" s="36"/>
      <c r="F15" s="36"/>
      <c r="G15" s="36"/>
      <c r="H15" s="36"/>
      <c r="I15" s="36"/>
      <c r="J15" s="127"/>
      <c r="K15" s="127"/>
      <c r="L15" s="127"/>
      <c r="M15" s="36"/>
      <c r="N15" s="36"/>
      <c r="O15" s="399"/>
      <c r="P15" s="35"/>
    </row>
    <row r="16" spans="1:16" ht="25.5" customHeight="1" thickBot="1">
      <c r="B16" s="1080" t="s">
        <v>101</v>
      </c>
      <c r="C16" s="1081"/>
      <c r="D16" s="1081"/>
      <c r="E16" s="1081"/>
      <c r="F16" s="1081"/>
      <c r="G16" s="1081"/>
      <c r="H16" s="1081"/>
      <c r="I16" s="1081"/>
      <c r="J16" s="1081"/>
      <c r="K16" s="1081"/>
      <c r="L16" s="1081"/>
      <c r="M16" s="1081"/>
      <c r="N16" s="1082"/>
      <c r="O16" s="402" t="s">
        <v>102</v>
      </c>
      <c r="P16" s="6"/>
    </row>
    <row r="17" spans="1:16" ht="22.5" customHeight="1">
      <c r="A17" s="190" t="s">
        <v>330</v>
      </c>
      <c r="B17" s="1024" t="s">
        <v>306</v>
      </c>
      <c r="C17" s="198"/>
      <c r="D17" s="1043" t="s">
        <v>300</v>
      </c>
      <c r="E17" s="1043"/>
      <c r="F17" s="1043"/>
      <c r="G17" s="1043"/>
      <c r="H17" s="1043"/>
      <c r="I17" s="1043"/>
      <c r="J17" s="1043"/>
      <c r="K17" s="1043"/>
      <c r="L17" s="1043"/>
      <c r="M17" s="1043"/>
      <c r="N17" s="1044"/>
      <c r="O17" s="403"/>
      <c r="P17" s="1031" t="s">
        <v>309</v>
      </c>
    </row>
    <row r="18" spans="1:16" ht="22.5" customHeight="1">
      <c r="B18" s="866"/>
      <c r="C18" s="199" t="s">
        <v>330</v>
      </c>
      <c r="D18" s="1026" t="s">
        <v>301</v>
      </c>
      <c r="E18" s="1026"/>
      <c r="F18" s="1026"/>
      <c r="G18" s="1026"/>
      <c r="H18" s="1026"/>
      <c r="I18" s="1026"/>
      <c r="J18" s="1026"/>
      <c r="K18" s="1026"/>
      <c r="L18" s="1026"/>
      <c r="M18" s="1026"/>
      <c r="N18" s="1027"/>
      <c r="O18" s="404">
        <v>0.2</v>
      </c>
      <c r="P18" s="1041"/>
    </row>
    <row r="19" spans="1:16" ht="22.5" customHeight="1">
      <c r="B19" s="866"/>
      <c r="C19" s="199" t="s">
        <v>330</v>
      </c>
      <c r="D19" s="1026" t="s">
        <v>302</v>
      </c>
      <c r="E19" s="1026"/>
      <c r="F19" s="1026"/>
      <c r="G19" s="1026"/>
      <c r="H19" s="1026"/>
      <c r="I19" s="1026"/>
      <c r="J19" s="1026"/>
      <c r="K19" s="1026"/>
      <c r="L19" s="1026"/>
      <c r="M19" s="1026"/>
      <c r="N19" s="1027"/>
      <c r="O19" s="404">
        <v>0.8</v>
      </c>
      <c r="P19" s="1041"/>
    </row>
    <row r="20" spans="1:16" ht="22.5" customHeight="1">
      <c r="B20" s="866"/>
      <c r="C20" s="199"/>
      <c r="D20" s="1026" t="s">
        <v>303</v>
      </c>
      <c r="E20" s="1026"/>
      <c r="F20" s="1026"/>
      <c r="G20" s="1026"/>
      <c r="H20" s="1026"/>
      <c r="I20" s="1026"/>
      <c r="J20" s="1026"/>
      <c r="K20" s="1026"/>
      <c r="L20" s="1026"/>
      <c r="M20" s="1026"/>
      <c r="N20" s="1027"/>
      <c r="O20" s="404"/>
      <c r="P20" s="1041"/>
    </row>
    <row r="21" spans="1:16" ht="22.5" customHeight="1">
      <c r="B21" s="866"/>
      <c r="C21" s="199"/>
      <c r="D21" s="1026" t="s">
        <v>304</v>
      </c>
      <c r="E21" s="1026"/>
      <c r="F21" s="1026"/>
      <c r="G21" s="1026"/>
      <c r="H21" s="1026"/>
      <c r="I21" s="1026"/>
      <c r="J21" s="1026"/>
      <c r="K21" s="1026"/>
      <c r="L21" s="1026"/>
      <c r="M21" s="1026"/>
      <c r="N21" s="1027"/>
      <c r="O21" s="404"/>
      <c r="P21" s="1041"/>
    </row>
    <row r="22" spans="1:16" ht="22.5" customHeight="1">
      <c r="B22" s="866"/>
      <c r="C22" s="199"/>
      <c r="D22" s="1026" t="s">
        <v>305</v>
      </c>
      <c r="E22" s="1026"/>
      <c r="F22" s="1026"/>
      <c r="G22" s="1026"/>
      <c r="H22" s="1026"/>
      <c r="I22" s="1026"/>
      <c r="J22" s="1026"/>
      <c r="K22" s="1026"/>
      <c r="L22" s="1026"/>
      <c r="M22" s="1026"/>
      <c r="N22" s="1027"/>
      <c r="O22" s="404"/>
      <c r="P22" s="1041"/>
    </row>
    <row r="23" spans="1:16" ht="22.5" customHeight="1">
      <c r="B23" s="866"/>
      <c r="C23" s="199"/>
      <c r="D23" s="1026" t="s">
        <v>307</v>
      </c>
      <c r="E23" s="1026"/>
      <c r="F23" s="1026"/>
      <c r="G23" s="1026"/>
      <c r="H23" s="1026"/>
      <c r="I23" s="1026"/>
      <c r="J23" s="1026"/>
      <c r="K23" s="1026"/>
      <c r="L23" s="1026"/>
      <c r="M23" s="1026"/>
      <c r="N23" s="1027"/>
      <c r="O23" s="405"/>
      <c r="P23" s="1041"/>
    </row>
    <row r="24" spans="1:16" ht="22.5" customHeight="1" thickBot="1">
      <c r="B24" s="1025"/>
      <c r="C24" s="1028" t="s">
        <v>308</v>
      </c>
      <c r="D24" s="1029"/>
      <c r="E24" s="1029"/>
      <c r="F24" s="1029"/>
      <c r="G24" s="1029"/>
      <c r="H24" s="1029"/>
      <c r="I24" s="1029"/>
      <c r="J24" s="1029"/>
      <c r="K24" s="1029"/>
      <c r="L24" s="1029"/>
      <c r="M24" s="1029"/>
      <c r="N24" s="1030"/>
      <c r="O24" s="406">
        <f>SUM(O17:O23)</f>
        <v>1</v>
      </c>
      <c r="P24" s="1042"/>
    </row>
    <row r="25" spans="1:16" ht="15.75" customHeight="1" thickBot="1">
      <c r="B25" s="407"/>
      <c r="C25" s="36"/>
      <c r="D25" s="36"/>
      <c r="E25" s="36"/>
      <c r="F25" s="36"/>
      <c r="G25" s="36"/>
      <c r="H25" s="36"/>
      <c r="I25" s="36"/>
      <c r="J25" s="127"/>
      <c r="K25" s="127"/>
      <c r="L25" s="127"/>
      <c r="M25" s="36"/>
      <c r="N25" s="36"/>
      <c r="O25" s="399"/>
      <c r="P25" s="6"/>
    </row>
    <row r="26" spans="1:16" ht="26.25" thickBot="1">
      <c r="B26" s="469" t="s">
        <v>103</v>
      </c>
      <c r="C26" s="470"/>
      <c r="D26" s="470"/>
      <c r="E26" s="470"/>
      <c r="F26" s="470"/>
      <c r="G26" s="470"/>
      <c r="H26" s="470"/>
      <c r="I26" s="470"/>
      <c r="J26" s="471"/>
      <c r="K26" s="471"/>
      <c r="L26" s="471"/>
      <c r="M26" s="470"/>
      <c r="N26" s="470"/>
      <c r="O26" s="472"/>
      <c r="P26" s="6"/>
    </row>
    <row r="27" spans="1:16" ht="34.5" customHeight="1" thickBot="1">
      <c r="B27" s="1074" t="s">
        <v>298</v>
      </c>
      <c r="C27" s="1075"/>
      <c r="D27" s="1075"/>
      <c r="E27" s="1075"/>
      <c r="F27" s="1075"/>
      <c r="G27" s="1075"/>
      <c r="H27" s="1075"/>
      <c r="I27" s="1075"/>
      <c r="J27" s="1075"/>
      <c r="K27" s="1075"/>
      <c r="L27" s="1075"/>
      <c r="M27" s="1075"/>
      <c r="N27" s="1075"/>
      <c r="O27" s="1076"/>
      <c r="P27" s="1083" t="s">
        <v>465</v>
      </c>
    </row>
    <row r="28" spans="1:16" ht="42" customHeight="1" thickBot="1">
      <c r="B28" s="468" t="s">
        <v>66</v>
      </c>
      <c r="C28" s="19">
        <v>1</v>
      </c>
      <c r="D28" s="19">
        <v>2</v>
      </c>
      <c r="E28" s="19">
        <v>3</v>
      </c>
      <c r="F28" s="19">
        <v>4</v>
      </c>
      <c r="G28" s="19">
        <v>5</v>
      </c>
      <c r="H28" s="19">
        <v>6</v>
      </c>
      <c r="I28" s="19">
        <v>7</v>
      </c>
      <c r="J28" s="19">
        <v>8</v>
      </c>
      <c r="K28" s="19">
        <v>9</v>
      </c>
      <c r="L28" s="19">
        <v>10</v>
      </c>
      <c r="M28" s="19">
        <v>11</v>
      </c>
      <c r="N28" s="19">
        <v>12</v>
      </c>
      <c r="O28" s="408" t="s">
        <v>104</v>
      </c>
      <c r="P28" s="1084"/>
    </row>
    <row r="29" spans="1:16" ht="30.75" customHeight="1" thickBot="1">
      <c r="B29" s="339" t="s">
        <v>67</v>
      </c>
      <c r="C29" s="721">
        <v>43282</v>
      </c>
      <c r="D29" s="202">
        <v>43313</v>
      </c>
      <c r="E29" s="202">
        <v>43344</v>
      </c>
      <c r="F29" s="202">
        <v>43374</v>
      </c>
      <c r="G29" s="202">
        <v>43405</v>
      </c>
      <c r="H29" s="202">
        <v>43435</v>
      </c>
      <c r="I29" s="202">
        <v>43466</v>
      </c>
      <c r="J29" s="202">
        <v>43497</v>
      </c>
      <c r="K29" s="202">
        <v>43525</v>
      </c>
      <c r="L29" s="202">
        <v>43556</v>
      </c>
      <c r="M29" s="202">
        <v>43586</v>
      </c>
      <c r="N29" s="202">
        <v>43617</v>
      </c>
      <c r="O29" s="546"/>
      <c r="P29" s="1084"/>
    </row>
    <row r="30" spans="1:16" ht="43.5" customHeight="1" thickBot="1">
      <c r="B30" s="338" t="s">
        <v>705</v>
      </c>
      <c r="C30" s="203">
        <v>150</v>
      </c>
      <c r="D30" s="203">
        <v>150</v>
      </c>
      <c r="E30" s="203">
        <v>200</v>
      </c>
      <c r="F30" s="203">
        <v>200</v>
      </c>
      <c r="G30" s="203">
        <v>250</v>
      </c>
      <c r="H30" s="203">
        <v>250</v>
      </c>
      <c r="I30" s="203">
        <v>250</v>
      </c>
      <c r="J30" s="203">
        <v>250</v>
      </c>
      <c r="K30" s="203">
        <v>250</v>
      </c>
      <c r="L30" s="203">
        <v>250</v>
      </c>
      <c r="M30" s="203">
        <v>250</v>
      </c>
      <c r="N30" s="203">
        <v>250</v>
      </c>
      <c r="O30" s="410">
        <f t="shared" ref="O30:O34" si="0">SUM(C30:N30)</f>
        <v>2700</v>
      </c>
      <c r="P30" s="1084"/>
    </row>
    <row r="31" spans="1:16" ht="43.5" customHeight="1" thickBot="1">
      <c r="B31" s="338" t="s">
        <v>225</v>
      </c>
      <c r="C31" s="203"/>
      <c r="D31" s="203"/>
      <c r="E31" s="203"/>
      <c r="F31" s="203"/>
      <c r="G31" s="203"/>
      <c r="H31" s="203"/>
      <c r="I31" s="203"/>
      <c r="J31" s="203"/>
      <c r="K31" s="203"/>
      <c r="L31" s="203"/>
      <c r="M31" s="203"/>
      <c r="N31" s="203"/>
      <c r="O31" s="410">
        <f t="shared" si="0"/>
        <v>0</v>
      </c>
      <c r="P31" s="1084"/>
    </row>
    <row r="32" spans="1:16" ht="43.5" customHeight="1" thickBot="1">
      <c r="B32" s="338" t="s">
        <v>226</v>
      </c>
      <c r="C32" s="203"/>
      <c r="D32" s="203"/>
      <c r="E32" s="203"/>
      <c r="F32" s="203"/>
      <c r="G32" s="203"/>
      <c r="H32" s="203"/>
      <c r="I32" s="203"/>
      <c r="J32" s="203"/>
      <c r="K32" s="203"/>
      <c r="L32" s="203"/>
      <c r="M32" s="203"/>
      <c r="N32" s="203"/>
      <c r="O32" s="410">
        <f t="shared" si="0"/>
        <v>0</v>
      </c>
      <c r="P32" s="1084"/>
    </row>
    <row r="33" spans="2:16" ht="43.5" customHeight="1" thickBot="1">
      <c r="B33" s="338" t="s">
        <v>227</v>
      </c>
      <c r="C33" s="203"/>
      <c r="D33" s="203"/>
      <c r="E33" s="203"/>
      <c r="F33" s="203"/>
      <c r="G33" s="203"/>
      <c r="H33" s="203"/>
      <c r="I33" s="203"/>
      <c r="J33" s="203"/>
      <c r="K33" s="203"/>
      <c r="L33" s="203"/>
      <c r="M33" s="203"/>
      <c r="N33" s="203"/>
      <c r="O33" s="410">
        <f t="shared" si="0"/>
        <v>0</v>
      </c>
      <c r="P33" s="1084"/>
    </row>
    <row r="34" spans="2:16" ht="39" customHeight="1" thickBot="1">
      <c r="B34" s="339" t="s">
        <v>104</v>
      </c>
      <c r="C34" s="204">
        <f>SUM(C29:C33)</f>
        <v>43432</v>
      </c>
      <c r="D34" s="204">
        <f t="shared" ref="D34:N34" si="1">SUM(D29:D33)</f>
        <v>43463</v>
      </c>
      <c r="E34" s="204">
        <f t="shared" si="1"/>
        <v>43544</v>
      </c>
      <c r="F34" s="204">
        <f t="shared" si="1"/>
        <v>43574</v>
      </c>
      <c r="G34" s="204">
        <f t="shared" si="1"/>
        <v>43655</v>
      </c>
      <c r="H34" s="204">
        <f t="shared" si="1"/>
        <v>43685</v>
      </c>
      <c r="I34" s="204">
        <f t="shared" si="1"/>
        <v>43716</v>
      </c>
      <c r="J34" s="204">
        <f t="shared" si="1"/>
        <v>43747</v>
      </c>
      <c r="K34" s="204">
        <f t="shared" si="1"/>
        <v>43775</v>
      </c>
      <c r="L34" s="204">
        <f t="shared" si="1"/>
        <v>43806</v>
      </c>
      <c r="M34" s="204">
        <f t="shared" si="1"/>
        <v>43836</v>
      </c>
      <c r="N34" s="204">
        <f t="shared" si="1"/>
        <v>43867</v>
      </c>
      <c r="O34" s="410">
        <f t="shared" si="0"/>
        <v>524100</v>
      </c>
      <c r="P34" s="1085"/>
    </row>
    <row r="35" spans="2:16" ht="14.25" customHeight="1">
      <c r="B35" s="411"/>
      <c r="C35" s="36"/>
      <c r="D35" s="36"/>
      <c r="E35" s="36"/>
      <c r="F35" s="36"/>
      <c r="G35" s="36"/>
      <c r="H35" s="36"/>
      <c r="I35" s="36"/>
      <c r="J35" s="127"/>
      <c r="K35" s="127"/>
      <c r="L35" s="127"/>
      <c r="M35" s="36"/>
      <c r="N35" s="36"/>
      <c r="O35" s="399"/>
      <c r="P35" s="6"/>
    </row>
    <row r="36" spans="2:16" ht="26.25" thickBot="1">
      <c r="B36" s="464" t="s">
        <v>467</v>
      </c>
      <c r="C36" s="465"/>
      <c r="D36" s="465"/>
      <c r="E36" s="465"/>
      <c r="F36" s="465"/>
      <c r="G36" s="465"/>
      <c r="H36" s="465"/>
      <c r="I36" s="465"/>
      <c r="J36" s="466"/>
      <c r="K36" s="466"/>
      <c r="L36" s="466"/>
      <c r="M36" s="465"/>
      <c r="N36" s="465"/>
      <c r="O36" s="467"/>
      <c r="P36" s="6"/>
    </row>
    <row r="37" spans="2:16" ht="31.5" customHeight="1" thickBot="1">
      <c r="B37" s="1045" t="s">
        <v>255</v>
      </c>
      <c r="C37" s="1046"/>
      <c r="D37" s="1046"/>
      <c r="E37" s="1046"/>
      <c r="F37" s="1046"/>
      <c r="G37" s="1046"/>
      <c r="H37" s="1046"/>
      <c r="I37" s="1046"/>
      <c r="J37" s="1046"/>
      <c r="K37" s="1046"/>
      <c r="L37" s="1046"/>
      <c r="M37" s="1046"/>
      <c r="N37" s="1046"/>
      <c r="O37" s="1047"/>
      <c r="P37" s="1031" t="s">
        <v>527</v>
      </c>
    </row>
    <row r="38" spans="2:16" ht="24" customHeight="1" thickBot="1">
      <c r="B38" s="412"/>
      <c r="C38" s="1093" t="s">
        <v>39</v>
      </c>
      <c r="D38" s="883"/>
      <c r="E38" s="883"/>
      <c r="F38" s="1092"/>
      <c r="G38" s="883" t="s">
        <v>235</v>
      </c>
      <c r="H38" s="883"/>
      <c r="I38" s="1092"/>
      <c r="J38" s="1058" t="s">
        <v>430</v>
      </c>
      <c r="K38" s="1059"/>
      <c r="L38" s="1066"/>
      <c r="M38" s="1058" t="s">
        <v>623</v>
      </c>
      <c r="N38" s="1059"/>
      <c r="O38" s="1060"/>
      <c r="P38" s="1032"/>
    </row>
    <row r="39" spans="2:16" ht="30" customHeight="1" thickBot="1">
      <c r="B39" s="476" t="s">
        <v>466</v>
      </c>
      <c r="C39" s="1089" t="s">
        <v>105</v>
      </c>
      <c r="D39" s="1090"/>
      <c r="E39" s="1090"/>
      <c r="F39" s="1091"/>
      <c r="G39" s="1073" t="s">
        <v>105</v>
      </c>
      <c r="H39" s="895"/>
      <c r="I39" s="1065"/>
      <c r="J39" s="1061" t="s">
        <v>105</v>
      </c>
      <c r="K39" s="895"/>
      <c r="L39" s="1065"/>
      <c r="M39" s="1061" t="s">
        <v>106</v>
      </c>
      <c r="N39" s="895"/>
      <c r="O39" s="1062"/>
      <c r="P39" s="1032"/>
    </row>
    <row r="40" spans="2:16" ht="51.95" customHeight="1" thickBot="1">
      <c r="B40" s="338" t="s">
        <v>705</v>
      </c>
      <c r="C40" s="1067">
        <v>1200</v>
      </c>
      <c r="D40" s="1068"/>
      <c r="E40" s="1068"/>
      <c r="F40" s="1069"/>
      <c r="G40" s="1048">
        <v>3000</v>
      </c>
      <c r="H40" s="1049"/>
      <c r="I40" s="1050"/>
      <c r="J40" s="1071">
        <v>4000</v>
      </c>
      <c r="K40" s="1063"/>
      <c r="L40" s="1072"/>
      <c r="M40" s="1056">
        <v>5000</v>
      </c>
      <c r="N40" s="1063"/>
      <c r="O40" s="1064"/>
      <c r="P40" s="1032"/>
    </row>
    <row r="41" spans="2:16" ht="51.95" customHeight="1" thickBot="1">
      <c r="B41" s="338" t="s">
        <v>225</v>
      </c>
      <c r="C41" s="1067"/>
      <c r="D41" s="1068"/>
      <c r="E41" s="1068"/>
      <c r="F41" s="1069"/>
      <c r="G41" s="1048"/>
      <c r="H41" s="1049"/>
      <c r="I41" s="1050"/>
      <c r="J41" s="1054"/>
      <c r="K41" s="1055"/>
      <c r="L41" s="1056"/>
      <c r="M41" s="1054"/>
      <c r="N41" s="1055"/>
      <c r="O41" s="1057"/>
      <c r="P41" s="1032"/>
    </row>
    <row r="42" spans="2:16" ht="51.95" customHeight="1" thickBot="1">
      <c r="B42" s="338" t="s">
        <v>226</v>
      </c>
      <c r="C42" s="1067"/>
      <c r="D42" s="1068"/>
      <c r="E42" s="1068"/>
      <c r="F42" s="1069"/>
      <c r="G42" s="1048"/>
      <c r="H42" s="1049"/>
      <c r="I42" s="1050"/>
      <c r="J42" s="1054"/>
      <c r="K42" s="1055"/>
      <c r="L42" s="1056"/>
      <c r="M42" s="1054"/>
      <c r="N42" s="1055"/>
      <c r="O42" s="1057"/>
      <c r="P42" s="1032"/>
    </row>
    <row r="43" spans="2:16" ht="51.95" customHeight="1" thickBot="1">
      <c r="B43" s="338" t="s">
        <v>227</v>
      </c>
      <c r="C43" s="1067"/>
      <c r="D43" s="1068"/>
      <c r="E43" s="1068"/>
      <c r="F43" s="1069"/>
      <c r="G43" s="1048"/>
      <c r="H43" s="1049"/>
      <c r="I43" s="1050"/>
      <c r="J43" s="1054"/>
      <c r="K43" s="1055"/>
      <c r="L43" s="1056"/>
      <c r="M43" s="1054"/>
      <c r="N43" s="1055"/>
      <c r="O43" s="1057"/>
      <c r="P43" s="1032"/>
    </row>
    <row r="44" spans="2:16" ht="41.25" customHeight="1" thickBot="1">
      <c r="B44" s="475" t="s">
        <v>104</v>
      </c>
      <c r="C44" s="1086">
        <f>SUM(C40:F43)</f>
        <v>1200</v>
      </c>
      <c r="D44" s="1087"/>
      <c r="E44" s="1087"/>
      <c r="F44" s="1088"/>
      <c r="G44" s="1051">
        <f>SUM(G40:I43)</f>
        <v>3000</v>
      </c>
      <c r="H44" s="1052"/>
      <c r="I44" s="1070"/>
      <c r="J44" s="1051">
        <f>SUM(J40:L43)</f>
        <v>4000</v>
      </c>
      <c r="K44" s="1052"/>
      <c r="L44" s="1070"/>
      <c r="M44" s="1051">
        <f>SUM(M40:O43)</f>
        <v>5000</v>
      </c>
      <c r="N44" s="1052"/>
      <c r="O44" s="1053"/>
      <c r="P44" s="1033"/>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9" priority="4">
      <formula>C9&gt;A9</formula>
    </cfRule>
  </conditionalFormatting>
  <conditionalFormatting sqref="D9">
    <cfRule type="expression" dxfId="18" priority="3">
      <formula>C9&gt;A9</formula>
    </cfRule>
  </conditionalFormatting>
  <conditionalFormatting sqref="D13">
    <cfRule type="expression" dxfId="17" priority="2">
      <formula>C13&gt;A13</formula>
    </cfRule>
  </conditionalFormatting>
  <conditionalFormatting sqref="D13">
    <cfRule type="expression" dxfId="16"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9" zoomScale="70" zoomScaleNormal="80" zoomScaleSheetLayoutView="70" workbookViewId="0">
      <selection activeCell="G19" sqref="G19"/>
    </sheetView>
  </sheetViews>
  <sheetFormatPr defaultColWidth="9.140625" defaultRowHeight="25.5"/>
  <cols>
    <col min="1" max="1" width="3.42578125" style="4" customWidth="1"/>
    <col min="2" max="2" width="29.5703125" style="29" customWidth="1"/>
    <col min="3" max="3" width="12.5703125" style="4" customWidth="1"/>
    <col min="4" max="4" width="14.7109375" style="4" customWidth="1"/>
    <col min="5" max="5" width="16.42578125" style="4" customWidth="1"/>
    <col min="6" max="6" width="13.7109375" style="4" customWidth="1"/>
    <col min="7" max="7" width="15.28515625" style="4" customWidth="1"/>
    <col min="8" max="8" width="14" style="4" customWidth="1"/>
    <col min="9" max="9" width="11.5703125" style="4" customWidth="1"/>
    <col min="10" max="11" width="14.5703125" style="9" customWidth="1"/>
    <col min="12" max="12" width="11.5703125" style="9" customWidth="1"/>
    <col min="13" max="13" width="12.7109375" style="4" customWidth="1"/>
    <col min="14" max="14" width="11.85546875" style="4" customWidth="1"/>
    <col min="15" max="15" width="13" style="4" customWidth="1"/>
    <col min="16" max="16" width="86.140625" style="4" customWidth="1"/>
    <col min="17" max="16384" width="9.140625" style="4"/>
  </cols>
  <sheetData>
    <row r="1" spans="1:16" ht="27.75" customHeight="1" thickTop="1" thickBot="1">
      <c r="B1" s="857" t="s">
        <v>248</v>
      </c>
      <c r="C1" s="858"/>
      <c r="D1" s="858"/>
      <c r="E1" s="858"/>
      <c r="F1" s="858"/>
      <c r="G1" s="858"/>
      <c r="H1" s="858"/>
      <c r="I1" s="858"/>
      <c r="J1" s="858"/>
      <c r="K1" s="858"/>
      <c r="L1" s="858"/>
      <c r="M1" s="858"/>
      <c r="N1" s="858"/>
      <c r="O1" s="859"/>
      <c r="P1" s="413" t="s">
        <v>207</v>
      </c>
    </row>
    <row r="2" spans="1:16" ht="21.75" customHeight="1" thickBot="1">
      <c r="B2" s="396"/>
      <c r="C2" s="172"/>
      <c r="D2" s="172"/>
      <c r="E2" s="172"/>
      <c r="F2" s="172"/>
      <c r="G2" s="172"/>
      <c r="H2" s="172"/>
      <c r="I2" s="172"/>
      <c r="J2" s="173"/>
      <c r="K2" s="173"/>
      <c r="L2" s="173"/>
      <c r="M2" s="172"/>
      <c r="N2" s="172"/>
      <c r="O2" s="397"/>
      <c r="P2" s="129" t="s">
        <v>289</v>
      </c>
    </row>
    <row r="3" spans="1:16" ht="239.25" hidden="1" customHeight="1" thickBot="1">
      <c r="B3" s="398" t="s">
        <v>99</v>
      </c>
      <c r="C3" s="36"/>
      <c r="D3" s="36"/>
      <c r="E3" s="36"/>
      <c r="F3" s="36"/>
      <c r="G3" s="36"/>
      <c r="H3" s="36"/>
      <c r="I3" s="36"/>
      <c r="J3" s="127"/>
      <c r="K3" s="127"/>
      <c r="L3" s="127"/>
      <c r="M3" s="36"/>
      <c r="N3" s="36"/>
      <c r="O3" s="399"/>
      <c r="P3" s="175"/>
    </row>
    <row r="4" spans="1:16" ht="36" customHeight="1" thickBot="1">
      <c r="A4" s="231">
        <v>500</v>
      </c>
      <c r="B4" s="400" t="s">
        <v>1</v>
      </c>
      <c r="C4" s="146">
        <f>LEN(C5)</f>
        <v>466</v>
      </c>
      <c r="D4" s="846" t="str">
        <f>IF(C4&gt;A4,CONCATENATE("Karaktertúllépés! Kérjük, válaszát maximum ",A4," karakterben foglalja össze!"),CONCATENATE("Még beírható karakterek száma:   ",A4-C4))</f>
        <v>Még beírható karakterek száma:   34</v>
      </c>
      <c r="E4" s="1009"/>
      <c r="F4" s="1009"/>
      <c r="G4" s="1009"/>
      <c r="H4" s="1009"/>
      <c r="I4" s="1009"/>
      <c r="J4" s="1009"/>
      <c r="K4" s="1009"/>
      <c r="L4" s="1009"/>
      <c r="M4" s="1009"/>
      <c r="N4" s="1009"/>
      <c r="O4" s="1077"/>
      <c r="P4" s="268" t="s">
        <v>260</v>
      </c>
    </row>
    <row r="5" spans="1:16" ht="182.25" customHeight="1" thickBot="1">
      <c r="B5" s="418" t="s">
        <v>238</v>
      </c>
      <c r="C5" s="982" t="s">
        <v>718</v>
      </c>
      <c r="D5" s="913"/>
      <c r="E5" s="913"/>
      <c r="F5" s="913"/>
      <c r="G5" s="913"/>
      <c r="H5" s="913"/>
      <c r="I5" s="913"/>
      <c r="J5" s="913"/>
      <c r="K5" s="913"/>
      <c r="L5" s="913"/>
      <c r="M5" s="913"/>
      <c r="N5" s="913"/>
      <c r="O5" s="1079"/>
      <c r="P5" s="269" t="s">
        <v>385</v>
      </c>
    </row>
    <row r="6" spans="1:16" ht="27.75" customHeight="1" thickBot="1">
      <c r="A6" s="231">
        <v>500</v>
      </c>
      <c r="B6" s="400" t="s">
        <v>1</v>
      </c>
      <c r="C6" s="146">
        <f>LEN(C7)</f>
        <v>340</v>
      </c>
      <c r="D6" s="846" t="str">
        <f>IF(C6&gt;A6,CONCATENATE("Karaktertúllépés! Kérjük, válaszát maximum ",A6," karakterben foglalja össze!"),CONCATENATE("Még beírható karakterek száma:   ",A6-C6))</f>
        <v>Még beírható karakterek száma:   160</v>
      </c>
      <c r="E6" s="1009"/>
      <c r="F6" s="1009"/>
      <c r="G6" s="1009"/>
      <c r="H6" s="1009"/>
      <c r="I6" s="1009"/>
      <c r="J6" s="1009"/>
      <c r="K6" s="1009"/>
      <c r="L6" s="1009"/>
      <c r="M6" s="1009"/>
      <c r="N6" s="1009"/>
      <c r="O6" s="1077"/>
      <c r="P6" s="268"/>
    </row>
    <row r="7" spans="1:16" ht="193.5" customHeight="1" thickBot="1">
      <c r="B7" s="401" t="s">
        <v>218</v>
      </c>
      <c r="C7" s="982" t="s">
        <v>719</v>
      </c>
      <c r="D7" s="913"/>
      <c r="E7" s="913"/>
      <c r="F7" s="913"/>
      <c r="G7" s="913"/>
      <c r="H7" s="913"/>
      <c r="I7" s="913"/>
      <c r="J7" s="913"/>
      <c r="K7" s="913"/>
      <c r="L7" s="913"/>
      <c r="M7" s="913"/>
      <c r="N7" s="913"/>
      <c r="O7" s="1079"/>
      <c r="P7" s="270" t="s">
        <v>384</v>
      </c>
    </row>
    <row r="8" spans="1:16" ht="11.25" customHeight="1" thickBot="1">
      <c r="B8" s="411"/>
      <c r="C8" s="36"/>
      <c r="D8" s="36"/>
      <c r="E8" s="36"/>
      <c r="F8" s="36"/>
      <c r="G8" s="36"/>
      <c r="H8" s="36"/>
      <c r="I8" s="36"/>
      <c r="J8" s="127"/>
      <c r="K8" s="127"/>
      <c r="L8" s="127"/>
      <c r="M8" s="36"/>
      <c r="N8" s="36"/>
      <c r="O8" s="399"/>
      <c r="P8" s="271"/>
    </row>
    <row r="9" spans="1:16" ht="26.25" thickBot="1">
      <c r="B9" s="464" t="s">
        <v>107</v>
      </c>
      <c r="C9" s="465"/>
      <c r="D9" s="465"/>
      <c r="E9" s="465"/>
      <c r="F9" s="465"/>
      <c r="G9" s="465"/>
      <c r="H9" s="465"/>
      <c r="I9" s="465"/>
      <c r="J9" s="466"/>
      <c r="K9" s="466"/>
      <c r="L9" s="466"/>
      <c r="M9" s="465"/>
      <c r="N9" s="465"/>
      <c r="O9" s="467"/>
      <c r="P9" s="414"/>
    </row>
    <row r="10" spans="1:16" ht="32.25" customHeight="1" thickBot="1">
      <c r="B10" s="1103" t="s">
        <v>392</v>
      </c>
      <c r="C10" s="1104"/>
      <c r="D10" s="1104"/>
      <c r="E10" s="1104"/>
      <c r="F10" s="1104"/>
      <c r="G10" s="1104"/>
      <c r="H10" s="1104"/>
      <c r="I10" s="1104"/>
      <c r="J10" s="1104"/>
      <c r="K10" s="1104"/>
      <c r="L10" s="1104"/>
      <c r="M10" s="1104"/>
      <c r="N10" s="1104"/>
      <c r="O10" s="1105"/>
      <c r="P10" s="1106" t="s">
        <v>468</v>
      </c>
    </row>
    <row r="11" spans="1:16" ht="30.75" customHeight="1" thickBot="1">
      <c r="B11" s="352" t="s">
        <v>66</v>
      </c>
      <c r="C11" s="327">
        <v>1</v>
      </c>
      <c r="D11" s="327">
        <v>2</v>
      </c>
      <c r="E11" s="327">
        <v>3</v>
      </c>
      <c r="F11" s="327">
        <v>4</v>
      </c>
      <c r="G11" s="327">
        <v>5</v>
      </c>
      <c r="H11" s="327">
        <v>6</v>
      </c>
      <c r="I11" s="327">
        <v>7</v>
      </c>
      <c r="J11" s="327">
        <v>8</v>
      </c>
      <c r="K11" s="327">
        <v>9</v>
      </c>
      <c r="L11" s="327">
        <v>10</v>
      </c>
      <c r="M11" s="327">
        <v>11</v>
      </c>
      <c r="N11" s="327">
        <v>12</v>
      </c>
      <c r="O11" s="419" t="s">
        <v>228</v>
      </c>
      <c r="P11" s="1107"/>
    </row>
    <row r="12" spans="1:16" ht="16.5" thickBot="1">
      <c r="B12" s="339" t="s">
        <v>67</v>
      </c>
      <c r="C12" s="722">
        <v>43282</v>
      </c>
      <c r="D12" s="722">
        <v>43313</v>
      </c>
      <c r="E12" s="722">
        <v>43344</v>
      </c>
      <c r="F12" s="722">
        <v>43374</v>
      </c>
      <c r="G12" s="722">
        <v>43405</v>
      </c>
      <c r="H12" s="722">
        <v>43435</v>
      </c>
      <c r="I12" s="722">
        <v>43466</v>
      </c>
      <c r="J12" s="722">
        <v>43497</v>
      </c>
      <c r="K12" s="722">
        <v>43525</v>
      </c>
      <c r="L12" s="722">
        <v>43556</v>
      </c>
      <c r="M12" s="722">
        <v>43586</v>
      </c>
      <c r="N12" s="722">
        <v>43617</v>
      </c>
      <c r="O12" s="409">
        <f>SUM(C12:N12)</f>
        <v>521400</v>
      </c>
      <c r="P12" s="1107"/>
    </row>
    <row r="13" spans="1:16" ht="16.5" thickBot="1">
      <c r="B13" s="338" t="s">
        <v>108</v>
      </c>
      <c r="C13" s="215"/>
      <c r="D13" s="215"/>
      <c r="E13" s="215"/>
      <c r="F13" s="215"/>
      <c r="G13" s="215"/>
      <c r="H13" s="215"/>
      <c r="I13" s="215"/>
      <c r="J13" s="215"/>
      <c r="K13" s="215"/>
      <c r="L13" s="215"/>
      <c r="M13" s="215"/>
      <c r="N13" s="215"/>
      <c r="O13" s="409">
        <f t="shared" ref="O13:O29" si="0">SUM(C13:N13)</f>
        <v>0</v>
      </c>
      <c r="P13" s="1107"/>
    </row>
    <row r="14" spans="1:16" ht="16.5" thickBot="1">
      <c r="B14" s="338" t="s">
        <v>109</v>
      </c>
      <c r="C14" s="215"/>
      <c r="D14" s="215"/>
      <c r="E14" s="215"/>
      <c r="F14" s="215"/>
      <c r="G14" s="215"/>
      <c r="H14" s="215"/>
      <c r="I14" s="215"/>
      <c r="J14" s="215"/>
      <c r="K14" s="215"/>
      <c r="L14" s="215"/>
      <c r="M14" s="215"/>
      <c r="N14" s="215"/>
      <c r="O14" s="409">
        <f t="shared" si="0"/>
        <v>0</v>
      </c>
      <c r="P14" s="1107"/>
    </row>
    <row r="15" spans="1:16" ht="16.5" thickBot="1">
      <c r="B15" s="338" t="s">
        <v>110</v>
      </c>
      <c r="C15" s="215"/>
      <c r="D15" s="215"/>
      <c r="E15" s="215"/>
      <c r="F15" s="215"/>
      <c r="G15" s="215"/>
      <c r="H15" s="215"/>
      <c r="I15" s="215"/>
      <c r="J15" s="215"/>
      <c r="K15" s="215"/>
      <c r="L15" s="215"/>
      <c r="M15" s="215"/>
      <c r="N15" s="215"/>
      <c r="O15" s="409">
        <f t="shared" si="0"/>
        <v>0</v>
      </c>
      <c r="P15" s="1107"/>
    </row>
    <row r="16" spans="1:16" ht="16.5" thickBot="1">
      <c r="B16" s="338" t="s">
        <v>111</v>
      </c>
      <c r="C16" s="215"/>
      <c r="D16" s="215"/>
      <c r="E16" s="215"/>
      <c r="F16" s="215"/>
      <c r="G16" s="215"/>
      <c r="H16" s="215"/>
      <c r="I16" s="215"/>
      <c r="J16" s="215"/>
      <c r="K16" s="215"/>
      <c r="L16" s="215"/>
      <c r="M16" s="215"/>
      <c r="N16" s="215"/>
      <c r="O16" s="409">
        <f t="shared" si="0"/>
        <v>0</v>
      </c>
      <c r="P16" s="1107"/>
    </row>
    <row r="17" spans="2:16" ht="16.5" thickBot="1">
      <c r="B17" s="338" t="s">
        <v>112</v>
      </c>
      <c r="C17" s="215"/>
      <c r="D17" s="215"/>
      <c r="E17" s="215"/>
      <c r="F17" s="215"/>
      <c r="G17" s="215"/>
      <c r="H17" s="215"/>
      <c r="I17" s="215"/>
      <c r="J17" s="215"/>
      <c r="K17" s="215"/>
      <c r="L17" s="215"/>
      <c r="M17" s="215"/>
      <c r="N17" s="215"/>
      <c r="O17" s="409">
        <f t="shared" si="0"/>
        <v>0</v>
      </c>
      <c r="P17" s="1107"/>
    </row>
    <row r="18" spans="2:16" ht="16.5" thickBot="1">
      <c r="B18" s="338" t="s">
        <v>113</v>
      </c>
      <c r="C18" s="215"/>
      <c r="D18" s="215"/>
      <c r="E18" s="215"/>
      <c r="F18" s="215"/>
      <c r="G18" s="215"/>
      <c r="H18" s="215"/>
      <c r="I18" s="215"/>
      <c r="J18" s="215"/>
      <c r="K18" s="215"/>
      <c r="L18" s="215"/>
      <c r="M18" s="215"/>
      <c r="N18" s="215"/>
      <c r="O18" s="409">
        <f t="shared" si="0"/>
        <v>0</v>
      </c>
      <c r="P18" s="1107"/>
    </row>
    <row r="19" spans="2:16" ht="16.5" thickBot="1">
      <c r="B19" s="338" t="s">
        <v>114</v>
      </c>
      <c r="C19" s="215"/>
      <c r="D19" s="215"/>
      <c r="E19" s="215"/>
      <c r="F19" s="215"/>
      <c r="G19" s="215"/>
      <c r="H19" s="215"/>
      <c r="I19" s="215"/>
      <c r="J19" s="215"/>
      <c r="K19" s="215"/>
      <c r="L19" s="215"/>
      <c r="M19" s="215"/>
      <c r="N19" s="215"/>
      <c r="O19" s="409">
        <f t="shared" si="0"/>
        <v>0</v>
      </c>
      <c r="P19" s="1107"/>
    </row>
    <row r="20" spans="2:16" ht="16.5" thickBot="1">
      <c r="B20" s="338" t="s">
        <v>115</v>
      </c>
      <c r="C20" s="215"/>
      <c r="D20" s="215"/>
      <c r="E20" s="215"/>
      <c r="F20" s="215"/>
      <c r="G20" s="215"/>
      <c r="H20" s="215"/>
      <c r="I20" s="215"/>
      <c r="J20" s="215"/>
      <c r="K20" s="215"/>
      <c r="L20" s="215"/>
      <c r="M20" s="215"/>
      <c r="N20" s="215"/>
      <c r="O20" s="409">
        <f t="shared" si="0"/>
        <v>0</v>
      </c>
      <c r="P20" s="1108"/>
    </row>
    <row r="21" spans="2:16" ht="16.5" thickBot="1">
      <c r="B21" s="338" t="s">
        <v>116</v>
      </c>
      <c r="C21" s="215"/>
      <c r="D21" s="215"/>
      <c r="E21" s="215">
        <v>176</v>
      </c>
      <c r="F21" s="215"/>
      <c r="G21" s="215"/>
      <c r="H21" s="215"/>
      <c r="I21" s="215"/>
      <c r="J21" s="215"/>
      <c r="K21" s="215"/>
      <c r="L21" s="215"/>
      <c r="M21" s="215"/>
      <c r="N21" s="215"/>
      <c r="O21" s="409">
        <f t="shared" si="0"/>
        <v>176</v>
      </c>
      <c r="P21" s="415"/>
    </row>
    <row r="22" spans="2:16" ht="16.5" thickBot="1">
      <c r="B22" s="461" t="s">
        <v>117</v>
      </c>
      <c r="C22" s="216"/>
      <c r="D22" s="216"/>
      <c r="E22" s="216"/>
      <c r="F22" s="216"/>
      <c r="G22" s="216"/>
      <c r="H22" s="216"/>
      <c r="I22" s="216"/>
      <c r="J22" s="216"/>
      <c r="K22" s="216"/>
      <c r="L22" s="216"/>
      <c r="M22" s="216"/>
      <c r="N22" s="216"/>
      <c r="O22" s="420">
        <f t="shared" si="0"/>
        <v>0</v>
      </c>
      <c r="P22" s="416"/>
    </row>
    <row r="23" spans="2:16" ht="16.5" customHeight="1" thickBot="1">
      <c r="B23" s="462" t="s">
        <v>118</v>
      </c>
      <c r="C23" s="217">
        <v>5</v>
      </c>
      <c r="D23" s="217">
        <v>5</v>
      </c>
      <c r="E23" s="217">
        <v>5</v>
      </c>
      <c r="F23" s="217">
        <v>5</v>
      </c>
      <c r="G23" s="217">
        <v>5</v>
      </c>
      <c r="H23" s="217">
        <v>5</v>
      </c>
      <c r="I23" s="217">
        <v>5</v>
      </c>
      <c r="J23" s="217">
        <v>5</v>
      </c>
      <c r="K23" s="217">
        <v>5</v>
      </c>
      <c r="L23" s="217">
        <v>5</v>
      </c>
      <c r="M23" s="217">
        <v>5</v>
      </c>
      <c r="N23" s="217">
        <v>5</v>
      </c>
      <c r="O23" s="421">
        <f t="shared" si="0"/>
        <v>60</v>
      </c>
      <c r="P23" s="416"/>
    </row>
    <row r="24" spans="2:16" ht="16.5" thickBot="1">
      <c r="B24" s="462" t="s">
        <v>119</v>
      </c>
      <c r="C24" s="217"/>
      <c r="D24" s="217"/>
      <c r="E24" s="217"/>
      <c r="F24" s="217"/>
      <c r="G24" s="217"/>
      <c r="H24" s="217"/>
      <c r="I24" s="217"/>
      <c r="J24" s="217"/>
      <c r="K24" s="217"/>
      <c r="L24" s="217"/>
      <c r="M24" s="217"/>
      <c r="N24" s="217"/>
      <c r="O24" s="421">
        <f t="shared" si="0"/>
        <v>0</v>
      </c>
      <c r="P24" s="416"/>
    </row>
    <row r="25" spans="2:16" ht="16.5" thickBot="1">
      <c r="B25" s="338" t="s">
        <v>120</v>
      </c>
      <c r="C25" s="215"/>
      <c r="D25" s="215"/>
      <c r="E25" s="215"/>
      <c r="F25" s="215"/>
      <c r="G25" s="215"/>
      <c r="H25" s="215"/>
      <c r="I25" s="215"/>
      <c r="J25" s="215"/>
      <c r="K25" s="215"/>
      <c r="L25" s="215"/>
      <c r="M25" s="215"/>
      <c r="N25" s="215"/>
      <c r="O25" s="409">
        <f t="shared" si="0"/>
        <v>0</v>
      </c>
      <c r="P25" s="416"/>
    </row>
    <row r="26" spans="2:16" ht="16.5" thickBot="1">
      <c r="B26" s="338" t="s">
        <v>121</v>
      </c>
      <c r="C26" s="215"/>
      <c r="D26" s="215"/>
      <c r="E26" s="215"/>
      <c r="F26" s="215"/>
      <c r="G26" s="215"/>
      <c r="H26" s="215"/>
      <c r="I26" s="215"/>
      <c r="J26" s="215"/>
      <c r="K26" s="215"/>
      <c r="L26" s="215"/>
      <c r="M26" s="215"/>
      <c r="N26" s="215"/>
      <c r="O26" s="409">
        <f t="shared" si="0"/>
        <v>0</v>
      </c>
      <c r="P26" s="416"/>
    </row>
    <row r="27" spans="2:16" ht="16.5" thickBot="1">
      <c r="B27" s="338" t="s">
        <v>122</v>
      </c>
      <c r="C27" s="215"/>
      <c r="D27" s="215"/>
      <c r="E27" s="215"/>
      <c r="F27" s="215"/>
      <c r="G27" s="215"/>
      <c r="H27" s="215"/>
      <c r="I27" s="215"/>
      <c r="J27" s="215"/>
      <c r="K27" s="215"/>
      <c r="L27" s="215"/>
      <c r="M27" s="215"/>
      <c r="N27" s="215"/>
      <c r="O27" s="409">
        <f t="shared" si="0"/>
        <v>0</v>
      </c>
      <c r="P27" s="416"/>
    </row>
    <row r="28" spans="2:16" ht="16.5" thickBot="1">
      <c r="B28" s="338" t="s">
        <v>123</v>
      </c>
      <c r="C28" s="215"/>
      <c r="D28" s="215"/>
      <c r="E28" s="215"/>
      <c r="F28" s="215"/>
      <c r="G28" s="215"/>
      <c r="H28" s="215"/>
      <c r="I28" s="215"/>
      <c r="J28" s="215"/>
      <c r="K28" s="215"/>
      <c r="L28" s="215"/>
      <c r="M28" s="215"/>
      <c r="N28" s="215"/>
      <c r="O28" s="409">
        <f t="shared" si="0"/>
        <v>0</v>
      </c>
      <c r="P28" s="416"/>
    </row>
    <row r="29" spans="2:16" ht="23.25" customHeight="1" thickBot="1">
      <c r="B29" s="463" t="s">
        <v>383</v>
      </c>
      <c r="C29" s="218">
        <f>SUM(C13:C28)</f>
        <v>5</v>
      </c>
      <c r="D29" s="218">
        <f t="shared" ref="D29:N29" si="1">SUM(D13:D28)</f>
        <v>5</v>
      </c>
      <c r="E29" s="218">
        <f t="shared" si="1"/>
        <v>181</v>
      </c>
      <c r="F29" s="218">
        <f t="shared" si="1"/>
        <v>5</v>
      </c>
      <c r="G29" s="218">
        <f t="shared" si="1"/>
        <v>5</v>
      </c>
      <c r="H29" s="218">
        <f t="shared" si="1"/>
        <v>5</v>
      </c>
      <c r="I29" s="218">
        <f t="shared" si="1"/>
        <v>5</v>
      </c>
      <c r="J29" s="218">
        <f t="shared" si="1"/>
        <v>5</v>
      </c>
      <c r="K29" s="218">
        <f t="shared" si="1"/>
        <v>5</v>
      </c>
      <c r="L29" s="218">
        <f t="shared" si="1"/>
        <v>5</v>
      </c>
      <c r="M29" s="218">
        <f t="shared" si="1"/>
        <v>5</v>
      </c>
      <c r="N29" s="218">
        <f t="shared" si="1"/>
        <v>5</v>
      </c>
      <c r="O29" s="422">
        <f t="shared" si="0"/>
        <v>236</v>
      </c>
      <c r="P29" s="417"/>
    </row>
    <row r="30" spans="2:16" ht="14.25" customHeight="1">
      <c r="B30" s="423"/>
      <c r="C30" s="36"/>
      <c r="D30" s="36"/>
      <c r="E30" s="36"/>
      <c r="F30" s="36"/>
      <c r="G30" s="36"/>
      <c r="H30" s="36"/>
      <c r="I30" s="36"/>
      <c r="J30" s="127"/>
      <c r="K30" s="127"/>
      <c r="L30" s="127"/>
      <c r="M30" s="36"/>
      <c r="N30" s="36"/>
      <c r="O30" s="399"/>
      <c r="P30" s="415"/>
    </row>
    <row r="31" spans="2:16" ht="26.25" customHeight="1" thickBot="1">
      <c r="B31" s="398" t="s">
        <v>254</v>
      </c>
      <c r="C31" s="36"/>
      <c r="D31" s="36"/>
      <c r="E31" s="36"/>
      <c r="F31" s="36"/>
      <c r="G31" s="36"/>
      <c r="H31" s="36"/>
      <c r="I31" s="36"/>
      <c r="J31" s="127"/>
      <c r="K31" s="127"/>
      <c r="L31" s="127"/>
      <c r="M31" s="36"/>
      <c r="N31" s="36"/>
      <c r="O31" s="399"/>
      <c r="P31" s="128"/>
    </row>
    <row r="32" spans="2:16" ht="30.75" customHeight="1" thickBot="1">
      <c r="B32" s="424" t="s">
        <v>4</v>
      </c>
      <c r="C32" s="1093" t="s">
        <v>5</v>
      </c>
      <c r="D32" s="883"/>
      <c r="E32" s="883"/>
      <c r="F32" s="883"/>
      <c r="G32" s="883"/>
      <c r="H32" s="883"/>
      <c r="I32" s="883"/>
      <c r="J32" s="883"/>
      <c r="K32" s="883"/>
      <c r="L32" s="883"/>
      <c r="M32" s="883"/>
      <c r="N32" s="883"/>
      <c r="O32" s="884"/>
      <c r="P32" s="1094" t="s">
        <v>310</v>
      </c>
    </row>
    <row r="33" spans="2:16" ht="188.25" customHeight="1" thickBot="1">
      <c r="B33" s="425" t="s">
        <v>720</v>
      </c>
      <c r="C33" s="1100" t="s">
        <v>706</v>
      </c>
      <c r="D33" s="1101"/>
      <c r="E33" s="1101"/>
      <c r="F33" s="1101"/>
      <c r="G33" s="1101"/>
      <c r="H33" s="1101"/>
      <c r="I33" s="1101"/>
      <c r="J33" s="1101"/>
      <c r="K33" s="1101"/>
      <c r="L33" s="1101"/>
      <c r="M33" s="1101"/>
      <c r="N33" s="1101"/>
      <c r="O33" s="1102"/>
      <c r="P33" s="1095"/>
    </row>
    <row r="34" spans="2:16" ht="188.25" customHeight="1" thickBot="1">
      <c r="B34" s="425" t="s">
        <v>707</v>
      </c>
      <c r="C34" s="1100" t="s">
        <v>708</v>
      </c>
      <c r="D34" s="1101"/>
      <c r="E34" s="1101"/>
      <c r="F34" s="1101"/>
      <c r="G34" s="1101"/>
      <c r="H34" s="1101"/>
      <c r="I34" s="1101"/>
      <c r="J34" s="1101"/>
      <c r="K34" s="1101"/>
      <c r="L34" s="1101"/>
      <c r="M34" s="1101"/>
      <c r="N34" s="1101"/>
      <c r="O34" s="1102"/>
      <c r="P34" s="1096"/>
    </row>
    <row r="35" spans="2:16" ht="188.25" customHeight="1" thickBot="1">
      <c r="B35" s="426" t="s">
        <v>710</v>
      </c>
      <c r="C35" s="1097" t="s">
        <v>709</v>
      </c>
      <c r="D35" s="1098"/>
      <c r="E35" s="1098"/>
      <c r="F35" s="1098"/>
      <c r="G35" s="1098"/>
      <c r="H35" s="1098"/>
      <c r="I35" s="1098"/>
      <c r="J35" s="1098"/>
      <c r="K35" s="1098"/>
      <c r="L35" s="1098"/>
      <c r="M35" s="1098"/>
      <c r="N35" s="1098"/>
      <c r="O35" s="1099"/>
      <c r="P35" s="414"/>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15" priority="4">
      <formula>C4&gt;A4</formula>
    </cfRule>
  </conditionalFormatting>
  <conditionalFormatting sqref="D4">
    <cfRule type="expression" dxfId="14" priority="3">
      <formula>C4&gt;A4</formula>
    </cfRule>
  </conditionalFormatting>
  <conditionalFormatting sqref="D6">
    <cfRule type="expression" dxfId="13" priority="2">
      <formula>C6&gt;A6</formula>
    </cfRule>
  </conditionalFormatting>
  <conditionalFormatting sqref="D6">
    <cfRule type="expression" dxfId="12"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23" activePane="bottomRight" state="frozen"/>
      <selection activeCell="B2" sqref="B2:G2"/>
      <selection pane="topRight" activeCell="B2" sqref="B2:G2"/>
      <selection pane="bottomLeft" activeCell="B2" sqref="B2:G2"/>
      <selection pane="bottomRight" activeCell="L26" sqref="L26"/>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5" t="s">
        <v>249</v>
      </c>
      <c r="C1" s="291"/>
      <c r="D1" s="291"/>
      <c r="E1" s="291"/>
      <c r="F1" s="291"/>
      <c r="G1" s="291"/>
      <c r="H1" s="291"/>
      <c r="I1" s="291"/>
      <c r="J1" s="291"/>
      <c r="K1" s="291"/>
      <c r="L1" s="291"/>
      <c r="M1" s="291"/>
      <c r="N1" s="291"/>
      <c r="O1" s="292"/>
      <c r="P1" s="130" t="s">
        <v>207</v>
      </c>
    </row>
    <row r="2" spans="1:16" ht="20.25" customHeight="1" thickBot="1">
      <c r="A2" s="5"/>
      <c r="B2" s="583" t="s">
        <v>738</v>
      </c>
      <c r="C2" s="320">
        <v>1</v>
      </c>
      <c r="D2" s="320">
        <v>2</v>
      </c>
      <c r="E2" s="320">
        <v>3</v>
      </c>
      <c r="F2" s="320">
        <v>4</v>
      </c>
      <c r="G2" s="321">
        <v>5</v>
      </c>
      <c r="H2" s="321">
        <v>6</v>
      </c>
      <c r="I2" s="321">
        <v>7</v>
      </c>
      <c r="J2" s="321">
        <v>8</v>
      </c>
      <c r="K2" s="321">
        <v>9</v>
      </c>
      <c r="L2" s="321">
        <v>10</v>
      </c>
      <c r="M2" s="321">
        <v>11</v>
      </c>
      <c r="N2" s="321">
        <v>12</v>
      </c>
      <c r="O2" s="322" t="s">
        <v>105</v>
      </c>
      <c r="P2" s="129" t="s">
        <v>286</v>
      </c>
    </row>
    <row r="3" spans="1:16" ht="24.75" customHeight="1" thickBot="1">
      <c r="A3" s="5"/>
      <c r="B3" s="308" t="s">
        <v>313</v>
      </c>
      <c r="C3" s="323" t="s">
        <v>125</v>
      </c>
      <c r="D3" s="323" t="s">
        <v>126</v>
      </c>
      <c r="E3" s="323" t="s">
        <v>127</v>
      </c>
      <c r="F3" s="323" t="s">
        <v>128</v>
      </c>
      <c r="G3" s="323" t="s">
        <v>129</v>
      </c>
      <c r="H3" s="323" t="s">
        <v>130</v>
      </c>
      <c r="I3" s="323" t="s">
        <v>131</v>
      </c>
      <c r="J3" s="323" t="s">
        <v>214</v>
      </c>
      <c r="K3" s="323" t="s">
        <v>312</v>
      </c>
      <c r="L3" s="323" t="s">
        <v>215</v>
      </c>
      <c r="M3" s="323" t="s">
        <v>216</v>
      </c>
      <c r="N3" s="323" t="s">
        <v>217</v>
      </c>
      <c r="O3" s="324" t="s">
        <v>229</v>
      </c>
      <c r="P3" s="1031" t="s">
        <v>521</v>
      </c>
    </row>
    <row r="4" spans="1:16" ht="28.5" customHeight="1" thickBot="1">
      <c r="A4" s="5"/>
      <c r="B4" s="18" t="s">
        <v>132</v>
      </c>
      <c r="C4" s="316"/>
      <c r="D4" s="316"/>
      <c r="E4" s="316"/>
      <c r="F4" s="316"/>
      <c r="G4" s="317"/>
      <c r="H4" s="317"/>
      <c r="I4" s="317"/>
      <c r="J4" s="317"/>
      <c r="K4" s="317"/>
      <c r="L4" s="317"/>
      <c r="M4" s="317"/>
      <c r="N4" s="317"/>
      <c r="O4" s="318"/>
      <c r="P4" s="1109"/>
    </row>
    <row r="5" spans="1:16" ht="27.75" customHeight="1">
      <c r="A5" s="5"/>
      <c r="B5" s="585" t="s">
        <v>133</v>
      </c>
      <c r="C5" s="596"/>
      <c r="D5" s="294">
        <f t="shared" ref="D5:E5" si="0">C71</f>
        <v>0</v>
      </c>
      <c r="E5" s="294">
        <f t="shared" si="0"/>
        <v>0</v>
      </c>
      <c r="F5" s="294">
        <f t="shared" ref="F5" si="1">E71</f>
        <v>0</v>
      </c>
      <c r="G5" s="294">
        <f t="shared" ref="G5" si="2">F71</f>
        <v>0</v>
      </c>
      <c r="H5" s="294">
        <f t="shared" ref="H5" si="3">G71</f>
        <v>0</v>
      </c>
      <c r="I5" s="294">
        <f t="shared" ref="I5" si="4">H71</f>
        <v>0</v>
      </c>
      <c r="J5" s="294">
        <f t="shared" ref="J5" si="5">I71</f>
        <v>1707528</v>
      </c>
      <c r="K5" s="294">
        <f t="shared" ref="K5" si="6">J71</f>
        <v>1032713</v>
      </c>
      <c r="L5" s="294">
        <f t="shared" ref="L5" si="7">K71</f>
        <v>780908</v>
      </c>
      <c r="M5" s="294">
        <f t="shared" ref="M5" si="8">L71</f>
        <v>534113</v>
      </c>
      <c r="N5" s="294">
        <f t="shared" ref="N5" si="9">M71</f>
        <v>508308</v>
      </c>
      <c r="O5" s="536"/>
      <c r="P5" s="739" t="s">
        <v>505</v>
      </c>
    </row>
    <row r="6" spans="1:16" ht="27" customHeight="1">
      <c r="A6" s="5"/>
      <c r="B6" s="586" t="s">
        <v>134</v>
      </c>
      <c r="C6" s="578"/>
      <c r="D6" s="293"/>
      <c r="E6" s="293"/>
      <c r="F6" s="293"/>
      <c r="G6" s="293"/>
      <c r="H6" s="293"/>
      <c r="I6" s="293">
        <v>150000</v>
      </c>
      <c r="J6" s="293">
        <v>150000</v>
      </c>
      <c r="K6" s="299">
        <v>200000</v>
      </c>
      <c r="L6" s="299">
        <v>200000</v>
      </c>
      <c r="M6" s="299">
        <v>250000</v>
      </c>
      <c r="N6" s="299">
        <v>250000</v>
      </c>
      <c r="O6" s="296">
        <f>SUM(C6:N6)</f>
        <v>1200000</v>
      </c>
      <c r="P6" s="740"/>
    </row>
    <row r="7" spans="1:16" ht="32.25" customHeight="1">
      <c r="A7" s="5"/>
      <c r="B7" s="492" t="s">
        <v>135</v>
      </c>
      <c r="C7" s="578"/>
      <c r="D7" s="293"/>
      <c r="E7" s="293"/>
      <c r="F7" s="293"/>
      <c r="G7" s="293"/>
      <c r="H7" s="293"/>
      <c r="I7" s="293"/>
      <c r="J7" s="293"/>
      <c r="K7" s="299"/>
      <c r="L7" s="299"/>
      <c r="M7" s="299"/>
      <c r="N7" s="299"/>
      <c r="O7" s="296">
        <f>SUM(C7:N7)</f>
        <v>0</v>
      </c>
      <c r="P7" s="740"/>
    </row>
    <row r="8" spans="1:16" ht="32.25" customHeight="1">
      <c r="A8" s="5"/>
      <c r="B8" s="492" t="s">
        <v>136</v>
      </c>
      <c r="C8" s="578"/>
      <c r="D8" s="293"/>
      <c r="E8" s="293"/>
      <c r="F8" s="293"/>
      <c r="G8" s="293"/>
      <c r="H8" s="293"/>
      <c r="I8" s="293">
        <v>1500000</v>
      </c>
      <c r="J8" s="293"/>
      <c r="K8" s="299"/>
      <c r="L8" s="299"/>
      <c r="M8" s="299"/>
      <c r="N8" s="299"/>
      <c r="O8" s="296">
        <f t="shared" ref="O8:O11" si="10">SUM(C8:N8)</f>
        <v>1500000</v>
      </c>
      <c r="P8" s="740"/>
    </row>
    <row r="9" spans="1:16" ht="32.25" customHeight="1">
      <c r="A9" s="5"/>
      <c r="B9" s="492" t="s">
        <v>137</v>
      </c>
      <c r="C9" s="578"/>
      <c r="D9" s="293"/>
      <c r="E9" s="293"/>
      <c r="F9" s="293"/>
      <c r="G9" s="293"/>
      <c r="H9" s="293"/>
      <c r="I9" s="293"/>
      <c r="J9" s="293"/>
      <c r="K9" s="299"/>
      <c r="L9" s="299"/>
      <c r="M9" s="299"/>
      <c r="N9" s="299"/>
      <c r="O9" s="296">
        <f t="shared" si="10"/>
        <v>0</v>
      </c>
      <c r="P9" s="740"/>
    </row>
    <row r="10" spans="1:16" ht="32.25" customHeight="1">
      <c r="A10" s="5"/>
      <c r="B10" s="492" t="s">
        <v>138</v>
      </c>
      <c r="C10" s="578"/>
      <c r="D10" s="293"/>
      <c r="E10" s="293"/>
      <c r="F10" s="293"/>
      <c r="G10" s="293"/>
      <c r="H10" s="293"/>
      <c r="I10" s="293">
        <v>333333</v>
      </c>
      <c r="J10" s="293"/>
      <c r="K10" s="299"/>
      <c r="L10" s="299"/>
      <c r="M10" s="299"/>
      <c r="N10" s="299"/>
      <c r="O10" s="296">
        <f t="shared" si="10"/>
        <v>333333</v>
      </c>
      <c r="P10" s="740"/>
    </row>
    <row r="11" spans="1:16" ht="32.25" customHeight="1" thickBot="1">
      <c r="A11" s="5"/>
      <c r="B11" s="586" t="s">
        <v>139</v>
      </c>
      <c r="C11" s="599"/>
      <c r="D11" s="297"/>
      <c r="E11" s="297"/>
      <c r="F11" s="297"/>
      <c r="G11" s="297"/>
      <c r="H11" s="297"/>
      <c r="I11" s="297"/>
      <c r="J11" s="297"/>
      <c r="K11" s="297"/>
      <c r="L11" s="297"/>
      <c r="M11" s="297"/>
      <c r="N11" s="297"/>
      <c r="O11" s="298">
        <f t="shared" si="10"/>
        <v>0</v>
      </c>
      <c r="P11" s="740"/>
    </row>
    <row r="12" spans="1:16" ht="32.25" customHeight="1" thickBot="1">
      <c r="A12" s="5"/>
      <c r="B12" s="587" t="s">
        <v>140</v>
      </c>
      <c r="C12" s="598">
        <f>SUM(C6:C11)</f>
        <v>0</v>
      </c>
      <c r="D12" s="305">
        <f t="shared" ref="D12:N12" si="11">SUM(D6:D11)</f>
        <v>0</v>
      </c>
      <c r="E12" s="305">
        <f t="shared" si="11"/>
        <v>0</v>
      </c>
      <c r="F12" s="305">
        <f t="shared" si="11"/>
        <v>0</v>
      </c>
      <c r="G12" s="305">
        <f t="shared" si="11"/>
        <v>0</v>
      </c>
      <c r="H12" s="305">
        <f t="shared" si="11"/>
        <v>0</v>
      </c>
      <c r="I12" s="305">
        <f t="shared" si="11"/>
        <v>1983333</v>
      </c>
      <c r="J12" s="305">
        <f t="shared" si="11"/>
        <v>150000</v>
      </c>
      <c r="K12" s="305">
        <f t="shared" si="11"/>
        <v>200000</v>
      </c>
      <c r="L12" s="305">
        <f t="shared" si="11"/>
        <v>200000</v>
      </c>
      <c r="M12" s="305">
        <f t="shared" si="11"/>
        <v>250000</v>
      </c>
      <c r="N12" s="305">
        <f t="shared" si="11"/>
        <v>250000</v>
      </c>
      <c r="O12" s="306">
        <f t="shared" ref="O12" si="12">SUM(C12:N12)</f>
        <v>3033333</v>
      </c>
      <c r="P12" s="740"/>
    </row>
    <row r="13" spans="1:16" ht="14.25" customHeight="1" thickBot="1">
      <c r="A13" s="5"/>
      <c r="B13" s="588"/>
      <c r="C13" s="1111"/>
      <c r="D13" s="1112"/>
      <c r="E13" s="1112"/>
      <c r="F13" s="1112"/>
      <c r="G13" s="1112"/>
      <c r="H13" s="1112"/>
      <c r="I13" s="1112"/>
      <c r="J13" s="1112"/>
      <c r="K13" s="1112"/>
      <c r="L13" s="1112"/>
      <c r="M13" s="1112"/>
      <c r="N13" s="1112"/>
      <c r="O13" s="1113"/>
      <c r="P13" s="740"/>
    </row>
    <row r="14" spans="1:16" ht="32.25" customHeight="1" thickBot="1">
      <c r="A14" s="5"/>
      <c r="B14" s="311" t="s">
        <v>141</v>
      </c>
      <c r="C14" s="311"/>
      <c r="D14" s="312"/>
      <c r="E14" s="312"/>
      <c r="F14" s="312"/>
      <c r="G14" s="313"/>
      <c r="H14" s="313"/>
      <c r="I14" s="313"/>
      <c r="J14" s="313"/>
      <c r="K14" s="313"/>
      <c r="L14" s="313"/>
      <c r="M14" s="313"/>
      <c r="N14" s="313"/>
      <c r="O14" s="314"/>
      <c r="P14" s="740"/>
    </row>
    <row r="15" spans="1:16" ht="32.25" customHeight="1" thickBot="1">
      <c r="A15" s="5"/>
      <c r="B15" s="589" t="s">
        <v>469</v>
      </c>
      <c r="C15" s="602">
        <f t="shared" ref="C15:N15" si="13">SUM(C17,C20,C23,C24,C27,C28,C29,C32,C35,C36,C37,C38,C39,C44)</f>
        <v>0</v>
      </c>
      <c r="D15" s="603">
        <f t="shared" si="13"/>
        <v>0</v>
      </c>
      <c r="E15" s="603">
        <f t="shared" si="13"/>
        <v>0</v>
      </c>
      <c r="F15" s="603">
        <f t="shared" si="13"/>
        <v>0</v>
      </c>
      <c r="G15" s="603">
        <f t="shared" si="13"/>
        <v>0</v>
      </c>
      <c r="H15" s="603">
        <f t="shared" si="13"/>
        <v>0</v>
      </c>
      <c r="I15" s="603">
        <f t="shared" si="13"/>
        <v>200805</v>
      </c>
      <c r="J15" s="603">
        <f t="shared" si="13"/>
        <v>749815</v>
      </c>
      <c r="K15" s="603">
        <f t="shared" si="13"/>
        <v>376805</v>
      </c>
      <c r="L15" s="603">
        <f t="shared" si="13"/>
        <v>371795</v>
      </c>
      <c r="M15" s="603">
        <f t="shared" si="13"/>
        <v>200805</v>
      </c>
      <c r="N15" s="603">
        <f t="shared" si="13"/>
        <v>207574</v>
      </c>
      <c r="O15" s="604">
        <f t="shared" ref="O15:O70" si="14">SUM(C15:N15)</f>
        <v>2107599</v>
      </c>
      <c r="P15" s="740"/>
    </row>
    <row r="16" spans="1:16" ht="39" customHeight="1" thickBot="1">
      <c r="A16" s="5"/>
      <c r="B16" s="584" t="s">
        <v>496</v>
      </c>
      <c r="C16" s="598">
        <f>C15*0.9</f>
        <v>0</v>
      </c>
      <c r="D16" s="305">
        <f t="shared" ref="D16:N16" si="15">D15*0.9</f>
        <v>0</v>
      </c>
      <c r="E16" s="305">
        <f t="shared" si="15"/>
        <v>0</v>
      </c>
      <c r="F16" s="305">
        <f t="shared" si="15"/>
        <v>0</v>
      </c>
      <c r="G16" s="305">
        <f t="shared" si="15"/>
        <v>0</v>
      </c>
      <c r="H16" s="305">
        <f t="shared" si="15"/>
        <v>0</v>
      </c>
      <c r="I16" s="305">
        <f t="shared" si="15"/>
        <v>180724.5</v>
      </c>
      <c r="J16" s="305">
        <f t="shared" si="15"/>
        <v>674833.5</v>
      </c>
      <c r="K16" s="305">
        <f t="shared" si="15"/>
        <v>339124.5</v>
      </c>
      <c r="L16" s="305">
        <f t="shared" si="15"/>
        <v>334615.5</v>
      </c>
      <c r="M16" s="305">
        <f t="shared" si="15"/>
        <v>180724.5</v>
      </c>
      <c r="N16" s="305">
        <f t="shared" si="15"/>
        <v>186816.6</v>
      </c>
      <c r="O16" s="306">
        <f t="shared" si="14"/>
        <v>1896839.1</v>
      </c>
      <c r="P16" s="740"/>
    </row>
    <row r="17" spans="1:16" ht="48.95" customHeight="1" thickBot="1">
      <c r="A17" s="5"/>
      <c r="B17" s="621" t="s">
        <v>470</v>
      </c>
      <c r="C17" s="600">
        <f>SUM(C18:C19)</f>
        <v>0</v>
      </c>
      <c r="D17" s="303">
        <f t="shared" ref="D17:N17" si="16">SUM(D18:D19)</f>
        <v>0</v>
      </c>
      <c r="E17" s="303">
        <f t="shared" si="16"/>
        <v>0</v>
      </c>
      <c r="F17" s="303">
        <f t="shared" si="16"/>
        <v>0</v>
      </c>
      <c r="G17" s="303">
        <f t="shared" si="16"/>
        <v>0</v>
      </c>
      <c r="H17" s="303">
        <f t="shared" si="16"/>
        <v>0</v>
      </c>
      <c r="I17" s="303">
        <f t="shared" si="16"/>
        <v>0</v>
      </c>
      <c r="J17" s="303">
        <f t="shared" si="16"/>
        <v>0</v>
      </c>
      <c r="K17" s="303">
        <f t="shared" si="16"/>
        <v>0</v>
      </c>
      <c r="L17" s="303">
        <f t="shared" si="16"/>
        <v>0</v>
      </c>
      <c r="M17" s="303">
        <f t="shared" si="16"/>
        <v>0</v>
      </c>
      <c r="N17" s="303">
        <f t="shared" si="16"/>
        <v>0</v>
      </c>
      <c r="O17" s="478">
        <f t="shared" si="14"/>
        <v>0</v>
      </c>
      <c r="P17" s="741"/>
    </row>
    <row r="18" spans="1:16" ht="48.95" customHeight="1">
      <c r="A18" s="5"/>
      <c r="B18" s="622" t="s">
        <v>471</v>
      </c>
      <c r="C18" s="578"/>
      <c r="D18" s="293"/>
      <c r="E18" s="293"/>
      <c r="F18" s="293"/>
      <c r="G18" s="293"/>
      <c r="H18" s="293"/>
      <c r="I18" s="293"/>
      <c r="J18" s="293"/>
      <c r="K18" s="293"/>
      <c r="L18" s="293"/>
      <c r="M18" s="293"/>
      <c r="N18" s="293"/>
      <c r="O18" s="479">
        <f t="shared" si="14"/>
        <v>0</v>
      </c>
      <c r="P18" s="300" t="s">
        <v>516</v>
      </c>
    </row>
    <row r="19" spans="1:16" ht="48.95" customHeight="1">
      <c r="A19" s="5"/>
      <c r="B19" s="622" t="s">
        <v>148</v>
      </c>
      <c r="C19" s="578"/>
      <c r="D19" s="293"/>
      <c r="E19" s="293"/>
      <c r="F19" s="293"/>
      <c r="G19" s="293"/>
      <c r="H19" s="293"/>
      <c r="I19" s="293"/>
      <c r="J19" s="293"/>
      <c r="K19" s="293"/>
      <c r="L19" s="293"/>
      <c r="M19" s="293"/>
      <c r="N19" s="293"/>
      <c r="O19" s="479">
        <f t="shared" si="14"/>
        <v>0</v>
      </c>
      <c r="P19" s="300" t="s">
        <v>517</v>
      </c>
    </row>
    <row r="20" spans="1:16" ht="69.75" customHeight="1">
      <c r="A20" s="5"/>
      <c r="B20" s="621" t="s">
        <v>472</v>
      </c>
      <c r="C20" s="578">
        <f>SUM(C21:C22)</f>
        <v>0</v>
      </c>
      <c r="D20" s="293">
        <f t="shared" ref="D20:N20" si="17">SUM(D21:D22)</f>
        <v>0</v>
      </c>
      <c r="E20" s="293">
        <f t="shared" si="17"/>
        <v>0</v>
      </c>
      <c r="F20" s="293">
        <f t="shared" si="17"/>
        <v>0</v>
      </c>
      <c r="G20" s="293">
        <f t="shared" si="17"/>
        <v>0</v>
      </c>
      <c r="H20" s="293">
        <f t="shared" si="17"/>
        <v>0</v>
      </c>
      <c r="I20" s="293">
        <f t="shared" si="17"/>
        <v>180500</v>
      </c>
      <c r="J20" s="293">
        <f t="shared" si="17"/>
        <v>180500</v>
      </c>
      <c r="K20" s="293">
        <f t="shared" si="17"/>
        <v>180500</v>
      </c>
      <c r="L20" s="293">
        <f t="shared" si="17"/>
        <v>180500</v>
      </c>
      <c r="M20" s="293">
        <f t="shared" si="17"/>
        <v>180500</v>
      </c>
      <c r="N20" s="293">
        <f t="shared" si="17"/>
        <v>180500</v>
      </c>
      <c r="O20" s="479">
        <f t="shared" si="14"/>
        <v>1083000</v>
      </c>
      <c r="P20" s="1116" t="s">
        <v>518</v>
      </c>
    </row>
    <row r="21" spans="1:16" ht="48.95" customHeight="1">
      <c r="A21" s="5"/>
      <c r="B21" s="622" t="s">
        <v>473</v>
      </c>
      <c r="C21" s="578"/>
      <c r="D21" s="293"/>
      <c r="E21" s="293"/>
      <c r="F21" s="293"/>
      <c r="G21" s="293"/>
      <c r="H21" s="293"/>
      <c r="I21" s="293">
        <v>180500</v>
      </c>
      <c r="J21" s="293">
        <v>180500</v>
      </c>
      <c r="K21" s="293">
        <v>180500</v>
      </c>
      <c r="L21" s="293">
        <v>180500</v>
      </c>
      <c r="M21" s="293">
        <v>180500</v>
      </c>
      <c r="N21" s="293">
        <v>180500</v>
      </c>
      <c r="O21" s="479">
        <f t="shared" si="14"/>
        <v>1083000</v>
      </c>
      <c r="P21" s="1116"/>
    </row>
    <row r="22" spans="1:16" ht="48.95" customHeight="1">
      <c r="A22" s="5"/>
      <c r="B22" s="622" t="s">
        <v>474</v>
      </c>
      <c r="C22" s="578"/>
      <c r="D22" s="293"/>
      <c r="E22" s="293"/>
      <c r="F22" s="293"/>
      <c r="G22" s="293"/>
      <c r="H22" s="293"/>
      <c r="I22" s="293"/>
      <c r="J22" s="293"/>
      <c r="K22" s="293"/>
      <c r="L22" s="293"/>
      <c r="M22" s="293"/>
      <c r="N22" s="293"/>
      <c r="O22" s="479">
        <f t="shared" si="14"/>
        <v>0</v>
      </c>
      <c r="P22" s="1116"/>
    </row>
    <row r="23" spans="1:16" ht="97.5" customHeight="1">
      <c r="A23" s="5"/>
      <c r="B23" s="621" t="s">
        <v>475</v>
      </c>
      <c r="C23" s="578"/>
      <c r="D23" s="293"/>
      <c r="E23" s="293"/>
      <c r="F23" s="293"/>
      <c r="G23" s="293"/>
      <c r="H23" s="293"/>
      <c r="I23" s="293"/>
      <c r="J23" s="293"/>
      <c r="K23" s="293"/>
      <c r="L23" s="293"/>
      <c r="M23" s="293"/>
      <c r="N23" s="293">
        <v>6769</v>
      </c>
      <c r="O23" s="479">
        <f t="shared" si="14"/>
        <v>6769</v>
      </c>
      <c r="P23" s="1116"/>
    </row>
    <row r="24" spans="1:16" ht="48.95" customHeight="1">
      <c r="A24" s="5"/>
      <c r="B24" s="621" t="s">
        <v>476</v>
      </c>
      <c r="C24" s="578">
        <f t="shared" ref="C24:N24" si="18">SUM(C25:C26)</f>
        <v>0</v>
      </c>
      <c r="D24" s="293">
        <f t="shared" si="18"/>
        <v>0</v>
      </c>
      <c r="E24" s="293">
        <f t="shared" si="18"/>
        <v>0</v>
      </c>
      <c r="F24" s="293">
        <f t="shared" si="18"/>
        <v>0</v>
      </c>
      <c r="G24" s="293">
        <f t="shared" si="18"/>
        <v>0</v>
      </c>
      <c r="H24" s="293">
        <f t="shared" si="18"/>
        <v>0</v>
      </c>
      <c r="I24" s="293">
        <f t="shared" si="18"/>
        <v>0</v>
      </c>
      <c r="J24" s="293">
        <f t="shared" si="18"/>
        <v>549010</v>
      </c>
      <c r="K24" s="293">
        <f t="shared" si="18"/>
        <v>0</v>
      </c>
      <c r="L24" s="293">
        <f t="shared" si="18"/>
        <v>170990</v>
      </c>
      <c r="M24" s="293">
        <f t="shared" si="18"/>
        <v>0</v>
      </c>
      <c r="N24" s="293">
        <f t="shared" si="18"/>
        <v>0</v>
      </c>
      <c r="O24" s="479">
        <f t="shared" si="14"/>
        <v>720000</v>
      </c>
      <c r="P24" s="300"/>
    </row>
    <row r="25" spans="1:16" ht="48.95" customHeight="1">
      <c r="A25" s="5"/>
      <c r="B25" s="622" t="s">
        <v>477</v>
      </c>
      <c r="C25" s="578"/>
      <c r="D25" s="293"/>
      <c r="E25" s="293"/>
      <c r="F25" s="293"/>
      <c r="G25" s="293"/>
      <c r="H25" s="293"/>
      <c r="I25" s="293"/>
      <c r="J25" s="293">
        <v>549010</v>
      </c>
      <c r="K25" s="293"/>
      <c r="L25" s="293">
        <v>170990</v>
      </c>
      <c r="M25" s="293"/>
      <c r="N25" s="293"/>
      <c r="O25" s="479">
        <f t="shared" si="14"/>
        <v>720000</v>
      </c>
      <c r="P25" s="300" t="s">
        <v>519</v>
      </c>
    </row>
    <row r="26" spans="1:16" s="605" customFormat="1" ht="48.95" customHeight="1">
      <c r="A26" s="5"/>
      <c r="B26" s="622" t="s">
        <v>478</v>
      </c>
      <c r="C26" s="578"/>
      <c r="D26" s="293"/>
      <c r="E26" s="293"/>
      <c r="F26" s="293"/>
      <c r="G26" s="293"/>
      <c r="H26" s="293"/>
      <c r="I26" s="293"/>
      <c r="J26" s="293"/>
      <c r="K26" s="293"/>
      <c r="L26" s="293"/>
      <c r="M26" s="293"/>
      <c r="N26" s="293"/>
      <c r="O26" s="479">
        <f t="shared" si="14"/>
        <v>0</v>
      </c>
      <c r="P26" s="612"/>
    </row>
    <row r="27" spans="1:16" ht="48.95" customHeight="1">
      <c r="A27" s="5"/>
      <c r="B27" s="621" t="s">
        <v>479</v>
      </c>
      <c r="C27" s="578"/>
      <c r="D27" s="293"/>
      <c r="E27" s="293"/>
      <c r="F27" s="293"/>
      <c r="G27" s="293"/>
      <c r="H27" s="293"/>
      <c r="I27" s="293"/>
      <c r="J27" s="293"/>
      <c r="K27" s="293"/>
      <c r="L27" s="293"/>
      <c r="M27" s="293"/>
      <c r="N27" s="293"/>
      <c r="O27" s="479">
        <f t="shared" si="14"/>
        <v>0</v>
      </c>
      <c r="P27" s="300" t="s">
        <v>506</v>
      </c>
    </row>
    <row r="28" spans="1:16" ht="69.75" customHeight="1">
      <c r="A28" s="5"/>
      <c r="B28" s="621" t="s">
        <v>480</v>
      </c>
      <c r="C28" s="578"/>
      <c r="D28" s="293"/>
      <c r="E28" s="293"/>
      <c r="F28" s="293"/>
      <c r="G28" s="293"/>
      <c r="H28" s="293"/>
      <c r="I28" s="293"/>
      <c r="J28" s="293"/>
      <c r="K28" s="293"/>
      <c r="L28" s="293"/>
      <c r="M28" s="293"/>
      <c r="N28" s="293"/>
      <c r="O28" s="479">
        <f t="shared" si="14"/>
        <v>0</v>
      </c>
      <c r="P28" s="300"/>
    </row>
    <row r="29" spans="1:16" ht="78.75" customHeight="1">
      <c r="A29" s="5"/>
      <c r="B29" s="623" t="s">
        <v>481</v>
      </c>
      <c r="C29" s="578">
        <f>SUM(C30:C31)</f>
        <v>0</v>
      </c>
      <c r="D29" s="293">
        <f t="shared" ref="D29:N29" si="19">SUM(D30:D31)</f>
        <v>0</v>
      </c>
      <c r="E29" s="293">
        <f t="shared" si="19"/>
        <v>0</v>
      </c>
      <c r="F29" s="293">
        <f t="shared" si="19"/>
        <v>0</v>
      </c>
      <c r="G29" s="293">
        <f t="shared" si="19"/>
        <v>0</v>
      </c>
      <c r="H29" s="293">
        <f t="shared" si="19"/>
        <v>0</v>
      </c>
      <c r="I29" s="293">
        <f t="shared" si="19"/>
        <v>0</v>
      </c>
      <c r="J29" s="293">
        <f t="shared" si="19"/>
        <v>0</v>
      </c>
      <c r="K29" s="293">
        <f t="shared" si="19"/>
        <v>176000</v>
      </c>
      <c r="L29" s="293">
        <f t="shared" si="19"/>
        <v>0</v>
      </c>
      <c r="M29" s="293">
        <f t="shared" si="19"/>
        <v>0</v>
      </c>
      <c r="N29" s="293">
        <f t="shared" si="19"/>
        <v>0</v>
      </c>
      <c r="O29" s="479">
        <f t="shared" si="14"/>
        <v>176000</v>
      </c>
      <c r="P29" s="300"/>
    </row>
    <row r="30" spans="1:16" ht="48.95" customHeight="1">
      <c r="A30" s="5"/>
      <c r="B30" s="622" t="s">
        <v>482</v>
      </c>
      <c r="C30" s="578"/>
      <c r="D30" s="293"/>
      <c r="E30" s="293"/>
      <c r="F30" s="293"/>
      <c r="G30" s="293"/>
      <c r="H30" s="293"/>
      <c r="I30" s="293"/>
      <c r="J30" s="293"/>
      <c r="K30" s="293"/>
      <c r="L30" s="293"/>
      <c r="M30" s="293"/>
      <c r="N30" s="293"/>
      <c r="O30" s="479">
        <f t="shared" si="14"/>
        <v>0</v>
      </c>
      <c r="P30" s="1116" t="s">
        <v>520</v>
      </c>
    </row>
    <row r="31" spans="1:16" ht="48.95" customHeight="1">
      <c r="A31" s="5"/>
      <c r="B31" s="622" t="s">
        <v>483</v>
      </c>
      <c r="C31" s="578"/>
      <c r="D31" s="293"/>
      <c r="E31" s="293"/>
      <c r="F31" s="293"/>
      <c r="G31" s="293"/>
      <c r="H31" s="293"/>
      <c r="I31" s="293"/>
      <c r="J31" s="293"/>
      <c r="K31" s="293">
        <v>176000</v>
      </c>
      <c r="L31" s="293"/>
      <c r="M31" s="293"/>
      <c r="N31" s="293"/>
      <c r="O31" s="479">
        <f t="shared" si="14"/>
        <v>176000</v>
      </c>
      <c r="P31" s="1116"/>
    </row>
    <row r="32" spans="1:16" ht="48.95" customHeight="1">
      <c r="A32" s="5"/>
      <c r="B32" s="623" t="s">
        <v>484</v>
      </c>
      <c r="C32" s="578">
        <f>SUM(C33:C34)</f>
        <v>0</v>
      </c>
      <c r="D32" s="293">
        <f t="shared" ref="D32:N32" si="20">SUM(D33:D34)</f>
        <v>0</v>
      </c>
      <c r="E32" s="293">
        <f t="shared" si="20"/>
        <v>0</v>
      </c>
      <c r="F32" s="293">
        <f t="shared" si="20"/>
        <v>0</v>
      </c>
      <c r="G32" s="293">
        <f t="shared" si="20"/>
        <v>0</v>
      </c>
      <c r="H32" s="293">
        <f t="shared" si="20"/>
        <v>0</v>
      </c>
      <c r="I32" s="293">
        <f t="shared" si="20"/>
        <v>20305</v>
      </c>
      <c r="J32" s="293">
        <f t="shared" si="20"/>
        <v>20305</v>
      </c>
      <c r="K32" s="293">
        <f t="shared" si="20"/>
        <v>20305</v>
      </c>
      <c r="L32" s="293">
        <f t="shared" si="20"/>
        <v>20305</v>
      </c>
      <c r="M32" s="293">
        <f t="shared" si="20"/>
        <v>20305</v>
      </c>
      <c r="N32" s="293">
        <f t="shared" si="20"/>
        <v>20305</v>
      </c>
      <c r="O32" s="479">
        <f t="shared" si="14"/>
        <v>121830</v>
      </c>
      <c r="P32" s="1116"/>
    </row>
    <row r="33" spans="1:16" ht="48.95" customHeight="1">
      <c r="A33" s="5"/>
      <c r="B33" s="622" t="s">
        <v>485</v>
      </c>
      <c r="C33" s="578"/>
      <c r="D33" s="293"/>
      <c r="E33" s="293"/>
      <c r="F33" s="293"/>
      <c r="G33" s="293"/>
      <c r="H33" s="293"/>
      <c r="I33" s="293">
        <v>20305</v>
      </c>
      <c r="J33" s="293">
        <v>20305</v>
      </c>
      <c r="K33" s="293">
        <v>20305</v>
      </c>
      <c r="L33" s="293">
        <v>20305</v>
      </c>
      <c r="M33" s="293">
        <v>20305</v>
      </c>
      <c r="N33" s="293">
        <v>20305</v>
      </c>
      <c r="O33" s="479">
        <f t="shared" si="14"/>
        <v>121830</v>
      </c>
      <c r="P33" s="300" t="s">
        <v>507</v>
      </c>
    </row>
    <row r="34" spans="1:16" ht="48.95" customHeight="1">
      <c r="A34" s="5"/>
      <c r="B34" s="622" t="s">
        <v>486</v>
      </c>
      <c r="C34" s="578"/>
      <c r="D34" s="293"/>
      <c r="E34" s="293"/>
      <c r="F34" s="293"/>
      <c r="G34" s="293"/>
      <c r="H34" s="293"/>
      <c r="I34" s="293"/>
      <c r="J34" s="293"/>
      <c r="K34" s="293"/>
      <c r="L34" s="293"/>
      <c r="M34" s="293"/>
      <c r="N34" s="293"/>
      <c r="O34" s="479">
        <f t="shared" si="14"/>
        <v>0</v>
      </c>
      <c r="P34" s="300"/>
    </row>
    <row r="35" spans="1:16" ht="48.95" customHeight="1">
      <c r="A35" s="5"/>
      <c r="B35" s="621" t="s">
        <v>487</v>
      </c>
      <c r="C35" s="578"/>
      <c r="D35" s="293"/>
      <c r="E35" s="293"/>
      <c r="F35" s="293"/>
      <c r="G35" s="293"/>
      <c r="H35" s="293"/>
      <c r="I35" s="293"/>
      <c r="J35" s="293"/>
      <c r="K35" s="293"/>
      <c r="L35" s="293"/>
      <c r="M35" s="293"/>
      <c r="N35" s="293"/>
      <c r="O35" s="479">
        <f t="shared" si="14"/>
        <v>0</v>
      </c>
      <c r="P35" s="300"/>
    </row>
    <row r="36" spans="1:16" ht="123.75" customHeight="1">
      <c r="A36" s="5"/>
      <c r="B36" s="621" t="s">
        <v>488</v>
      </c>
      <c r="C36" s="578"/>
      <c r="D36" s="293"/>
      <c r="E36" s="293"/>
      <c r="F36" s="293"/>
      <c r="G36" s="293"/>
      <c r="H36" s="293"/>
      <c r="I36" s="293"/>
      <c r="J36" s="293"/>
      <c r="K36" s="293"/>
      <c r="L36" s="293"/>
      <c r="M36" s="293"/>
      <c r="N36" s="293"/>
      <c r="O36" s="479">
        <f t="shared" si="14"/>
        <v>0</v>
      </c>
      <c r="P36" s="300" t="s">
        <v>510</v>
      </c>
    </row>
    <row r="37" spans="1:16" ht="69" customHeight="1">
      <c r="A37" s="5"/>
      <c r="B37" s="621" t="s">
        <v>489</v>
      </c>
      <c r="C37" s="578"/>
      <c r="D37" s="293"/>
      <c r="E37" s="293"/>
      <c r="F37" s="293"/>
      <c r="G37" s="293"/>
      <c r="H37" s="293"/>
      <c r="I37" s="293"/>
      <c r="J37" s="293"/>
      <c r="K37" s="293"/>
      <c r="L37" s="293"/>
      <c r="M37" s="293"/>
      <c r="N37" s="293"/>
      <c r="O37" s="479">
        <f t="shared" si="14"/>
        <v>0</v>
      </c>
      <c r="P37" s="300" t="s">
        <v>508</v>
      </c>
    </row>
    <row r="38" spans="1:16" ht="82.5" customHeight="1">
      <c r="A38" s="5"/>
      <c r="B38" s="621" t="s">
        <v>490</v>
      </c>
      <c r="C38" s="578"/>
      <c r="D38" s="293"/>
      <c r="E38" s="293"/>
      <c r="F38" s="293"/>
      <c r="G38" s="293"/>
      <c r="H38" s="293"/>
      <c r="I38" s="293"/>
      <c r="J38" s="293"/>
      <c r="K38" s="293"/>
      <c r="L38" s="293"/>
      <c r="M38" s="293"/>
      <c r="N38" s="293"/>
      <c r="O38" s="479">
        <f t="shared" si="14"/>
        <v>0</v>
      </c>
      <c r="P38" s="300" t="s">
        <v>509</v>
      </c>
    </row>
    <row r="39" spans="1:16" ht="62.25" customHeight="1">
      <c r="A39" s="5"/>
      <c r="B39" s="621" t="s">
        <v>491</v>
      </c>
      <c r="C39" s="578">
        <f>SUM(C40:C43)</f>
        <v>0</v>
      </c>
      <c r="D39" s="293">
        <f t="shared" ref="D39:N39" si="21">SUM(D40:D43)</f>
        <v>0</v>
      </c>
      <c r="E39" s="293">
        <f t="shared" si="21"/>
        <v>0</v>
      </c>
      <c r="F39" s="293">
        <f t="shared" si="21"/>
        <v>0</v>
      </c>
      <c r="G39" s="293">
        <f t="shared" si="21"/>
        <v>0</v>
      </c>
      <c r="H39" s="293">
        <f t="shared" si="21"/>
        <v>0</v>
      </c>
      <c r="I39" s="293">
        <f t="shared" si="21"/>
        <v>0</v>
      </c>
      <c r="J39" s="293">
        <f t="shared" si="21"/>
        <v>0</v>
      </c>
      <c r="K39" s="293">
        <f t="shared" si="21"/>
        <v>0</v>
      </c>
      <c r="L39" s="293">
        <f t="shared" si="21"/>
        <v>0</v>
      </c>
      <c r="M39" s="293">
        <f t="shared" si="21"/>
        <v>0</v>
      </c>
      <c r="N39" s="293">
        <f t="shared" si="21"/>
        <v>0</v>
      </c>
      <c r="O39" s="479">
        <f t="shared" si="14"/>
        <v>0</v>
      </c>
      <c r="P39" s="300" t="s">
        <v>511</v>
      </c>
    </row>
    <row r="40" spans="1:16" ht="67.5" customHeight="1">
      <c r="A40" s="5"/>
      <c r="B40" s="622" t="s">
        <v>492</v>
      </c>
      <c r="C40" s="578"/>
      <c r="D40" s="293"/>
      <c r="E40" s="293"/>
      <c r="F40" s="293"/>
      <c r="G40" s="293"/>
      <c r="H40" s="293"/>
      <c r="I40" s="293"/>
      <c r="J40" s="293"/>
      <c r="K40" s="293"/>
      <c r="L40" s="293"/>
      <c r="M40" s="293"/>
      <c r="N40" s="293"/>
      <c r="O40" s="479">
        <f t="shared" si="14"/>
        <v>0</v>
      </c>
      <c r="P40" s="300"/>
    </row>
    <row r="41" spans="1:16" ht="48.95" customHeight="1">
      <c r="A41" s="5"/>
      <c r="B41" s="622" t="s">
        <v>493</v>
      </c>
      <c r="C41" s="578"/>
      <c r="D41" s="293"/>
      <c r="E41" s="293"/>
      <c r="F41" s="293"/>
      <c r="G41" s="293"/>
      <c r="H41" s="293"/>
      <c r="I41" s="293"/>
      <c r="J41" s="293"/>
      <c r="K41" s="293"/>
      <c r="L41" s="293"/>
      <c r="M41" s="293"/>
      <c r="N41" s="293"/>
      <c r="O41" s="479">
        <f t="shared" si="14"/>
        <v>0</v>
      </c>
      <c r="P41" s="300" t="s">
        <v>512</v>
      </c>
    </row>
    <row r="42" spans="1:16" ht="48.95" customHeight="1">
      <c r="A42" s="5"/>
      <c r="B42" s="622" t="s">
        <v>494</v>
      </c>
      <c r="C42" s="578"/>
      <c r="D42" s="293"/>
      <c r="E42" s="293"/>
      <c r="F42" s="293"/>
      <c r="G42" s="293"/>
      <c r="H42" s="293"/>
      <c r="I42" s="293"/>
      <c r="J42" s="293"/>
      <c r="K42" s="293"/>
      <c r="L42" s="293"/>
      <c r="M42" s="293"/>
      <c r="N42" s="293"/>
      <c r="O42" s="479">
        <f t="shared" si="14"/>
        <v>0</v>
      </c>
      <c r="P42" s="300" t="s">
        <v>513</v>
      </c>
    </row>
    <row r="43" spans="1:16" ht="48.95" customHeight="1">
      <c r="A43" s="5"/>
      <c r="B43" s="622" t="s">
        <v>495</v>
      </c>
      <c r="C43" s="578"/>
      <c r="D43" s="293"/>
      <c r="E43" s="293"/>
      <c r="F43" s="293"/>
      <c r="G43" s="293"/>
      <c r="H43" s="293"/>
      <c r="I43" s="293"/>
      <c r="J43" s="293"/>
      <c r="K43" s="293"/>
      <c r="L43" s="293"/>
      <c r="M43" s="293"/>
      <c r="N43" s="293"/>
      <c r="O43" s="479">
        <f t="shared" si="14"/>
        <v>0</v>
      </c>
      <c r="P43" s="300" t="s">
        <v>514</v>
      </c>
    </row>
    <row r="44" spans="1:16" ht="48.95" customHeight="1" thickBot="1">
      <c r="A44" s="5"/>
      <c r="B44" s="621" t="s">
        <v>151</v>
      </c>
      <c r="C44" s="578"/>
      <c r="D44" s="293"/>
      <c r="E44" s="293"/>
      <c r="F44" s="293"/>
      <c r="G44" s="293"/>
      <c r="H44" s="293"/>
      <c r="I44" s="293"/>
      <c r="J44" s="293"/>
      <c r="K44" s="293"/>
      <c r="L44" s="293"/>
      <c r="M44" s="293"/>
      <c r="N44" s="293"/>
      <c r="O44" s="479">
        <f t="shared" si="14"/>
        <v>0</v>
      </c>
      <c r="P44" s="300" t="s">
        <v>515</v>
      </c>
    </row>
    <row r="45" spans="1:16" ht="48.95" customHeight="1" thickBot="1">
      <c r="A45" s="5"/>
      <c r="B45" s="547" t="s">
        <v>155</v>
      </c>
      <c r="C45" s="598">
        <f>SUM(C46:C67)</f>
        <v>0</v>
      </c>
      <c r="D45" s="305">
        <f>SUM(D46:D67)</f>
        <v>0</v>
      </c>
      <c r="E45" s="305">
        <f t="shared" ref="E45:N45" si="22">SUM(E46:E67)</f>
        <v>0</v>
      </c>
      <c r="F45" s="305">
        <f>SUM(F46:F67)</f>
        <v>0</v>
      </c>
      <c r="G45" s="305">
        <f t="shared" si="22"/>
        <v>0</v>
      </c>
      <c r="H45" s="305">
        <f>SUM(H46:H67)</f>
        <v>0</v>
      </c>
      <c r="I45" s="305">
        <f t="shared" si="22"/>
        <v>75000</v>
      </c>
      <c r="J45" s="305">
        <f t="shared" si="22"/>
        <v>75000</v>
      </c>
      <c r="K45" s="305">
        <f t="shared" si="22"/>
        <v>75000</v>
      </c>
      <c r="L45" s="305">
        <f t="shared" si="22"/>
        <v>75000</v>
      </c>
      <c r="M45" s="305">
        <f t="shared" si="22"/>
        <v>75000</v>
      </c>
      <c r="N45" s="305">
        <f t="shared" si="22"/>
        <v>75000</v>
      </c>
      <c r="O45" s="306">
        <f t="shared" si="14"/>
        <v>450000</v>
      </c>
      <c r="P45" s="490"/>
    </row>
    <row r="46" spans="1:16" ht="27" customHeight="1">
      <c r="A46" s="5"/>
      <c r="B46" s="480" t="s">
        <v>145</v>
      </c>
      <c r="C46" s="600"/>
      <c r="D46" s="303"/>
      <c r="E46" s="303"/>
      <c r="F46" s="303"/>
      <c r="G46" s="303"/>
      <c r="H46" s="303"/>
      <c r="I46" s="303"/>
      <c r="J46" s="303"/>
      <c r="K46" s="303"/>
      <c r="L46" s="303"/>
      <c r="M46" s="303"/>
      <c r="N46" s="303"/>
      <c r="O46" s="478">
        <f t="shared" si="14"/>
        <v>0</v>
      </c>
      <c r="P46" s="1031" t="s">
        <v>498</v>
      </c>
    </row>
    <row r="47" spans="1:16" ht="26.25" customHeight="1">
      <c r="A47" s="5"/>
      <c r="B47" s="481" t="s">
        <v>152</v>
      </c>
      <c r="C47" s="600"/>
      <c r="D47" s="303"/>
      <c r="E47" s="303"/>
      <c r="F47" s="303"/>
      <c r="G47" s="303"/>
      <c r="H47" s="303"/>
      <c r="I47" s="303"/>
      <c r="J47" s="303"/>
      <c r="K47" s="303"/>
      <c r="L47" s="303"/>
      <c r="M47" s="303"/>
      <c r="N47" s="303"/>
      <c r="O47" s="479">
        <f t="shared" si="14"/>
        <v>0</v>
      </c>
      <c r="P47" s="1032"/>
    </row>
    <row r="48" spans="1:16" ht="42.75" customHeight="1">
      <c r="A48" s="5"/>
      <c r="B48" s="481" t="s">
        <v>153</v>
      </c>
      <c r="C48" s="600"/>
      <c r="D48" s="303"/>
      <c r="E48" s="303"/>
      <c r="F48" s="303"/>
      <c r="G48" s="303"/>
      <c r="H48" s="303"/>
      <c r="I48" s="303"/>
      <c r="J48" s="303"/>
      <c r="K48" s="303"/>
      <c r="L48" s="303"/>
      <c r="M48" s="303"/>
      <c r="N48" s="303"/>
      <c r="O48" s="479">
        <f t="shared" si="14"/>
        <v>0</v>
      </c>
      <c r="P48" s="1032"/>
    </row>
    <row r="49" spans="1:16" ht="35.25" customHeight="1">
      <c r="A49" s="5"/>
      <c r="B49" s="481" t="s">
        <v>154</v>
      </c>
      <c r="C49" s="600"/>
      <c r="D49" s="303"/>
      <c r="E49" s="303"/>
      <c r="F49" s="303"/>
      <c r="G49" s="303"/>
      <c r="H49" s="303"/>
      <c r="I49" s="303"/>
      <c r="J49" s="303"/>
      <c r="K49" s="303"/>
      <c r="L49" s="303"/>
      <c r="M49" s="303"/>
      <c r="N49" s="303"/>
      <c r="O49" s="479">
        <f t="shared" si="14"/>
        <v>0</v>
      </c>
      <c r="P49" s="1032"/>
    </row>
    <row r="50" spans="1:16" ht="36" customHeight="1">
      <c r="A50" s="5"/>
      <c r="B50" s="481" t="s">
        <v>146</v>
      </c>
      <c r="C50" s="600"/>
      <c r="D50" s="303"/>
      <c r="E50" s="303"/>
      <c r="F50" s="303"/>
      <c r="G50" s="303"/>
      <c r="H50" s="303"/>
      <c r="I50" s="303"/>
      <c r="J50" s="303"/>
      <c r="K50" s="303"/>
      <c r="L50" s="303"/>
      <c r="M50" s="303"/>
      <c r="N50" s="303"/>
      <c r="O50" s="479">
        <f t="shared" si="14"/>
        <v>0</v>
      </c>
      <c r="P50" s="1032"/>
    </row>
    <row r="51" spans="1:16" ht="35.25" customHeight="1">
      <c r="A51" s="5"/>
      <c r="B51" s="481" t="s">
        <v>149</v>
      </c>
      <c r="C51" s="600"/>
      <c r="D51" s="303"/>
      <c r="E51" s="303"/>
      <c r="F51" s="303"/>
      <c r="G51" s="303"/>
      <c r="H51" s="303"/>
      <c r="I51" s="303">
        <v>5000</v>
      </c>
      <c r="J51" s="303">
        <v>5000</v>
      </c>
      <c r="K51" s="303">
        <v>5000</v>
      </c>
      <c r="L51" s="303">
        <v>5000</v>
      </c>
      <c r="M51" s="303">
        <v>5000</v>
      </c>
      <c r="N51" s="303">
        <v>5000</v>
      </c>
      <c r="O51" s="479">
        <f t="shared" si="14"/>
        <v>30000</v>
      </c>
      <c r="P51" s="1032"/>
    </row>
    <row r="52" spans="1:16" ht="22.5" customHeight="1">
      <c r="A52" s="5"/>
      <c r="B52" s="481" t="s">
        <v>147</v>
      </c>
      <c r="C52" s="600"/>
      <c r="D52" s="303"/>
      <c r="E52" s="303"/>
      <c r="F52" s="303"/>
      <c r="G52" s="303"/>
      <c r="H52" s="303"/>
      <c r="I52" s="303"/>
      <c r="J52" s="303"/>
      <c r="K52" s="303"/>
      <c r="L52" s="303"/>
      <c r="M52" s="303"/>
      <c r="N52" s="303"/>
      <c r="O52" s="479">
        <f t="shared" si="14"/>
        <v>0</v>
      </c>
      <c r="P52" s="1032"/>
    </row>
    <row r="53" spans="1:16" ht="39.75" customHeight="1">
      <c r="A53" s="5"/>
      <c r="B53" s="481" t="s">
        <v>408</v>
      </c>
      <c r="C53" s="600"/>
      <c r="D53" s="303"/>
      <c r="E53" s="303"/>
      <c r="F53" s="303"/>
      <c r="G53" s="303"/>
      <c r="H53" s="303"/>
      <c r="I53" s="303"/>
      <c r="J53" s="303"/>
      <c r="K53" s="303"/>
      <c r="L53" s="303"/>
      <c r="M53" s="303"/>
      <c r="N53" s="303"/>
      <c r="O53" s="479">
        <f t="shared" si="14"/>
        <v>0</v>
      </c>
      <c r="P53" s="1032"/>
    </row>
    <row r="54" spans="1:16" ht="37.5" customHeight="1">
      <c r="A54" s="5"/>
      <c r="B54" s="481" t="s">
        <v>150</v>
      </c>
      <c r="C54" s="600"/>
      <c r="D54" s="303"/>
      <c r="E54" s="303"/>
      <c r="F54" s="303"/>
      <c r="G54" s="303"/>
      <c r="H54" s="303"/>
      <c r="I54" s="303">
        <v>10000</v>
      </c>
      <c r="J54" s="303">
        <v>10000</v>
      </c>
      <c r="K54" s="303">
        <v>10000</v>
      </c>
      <c r="L54" s="303">
        <v>10000</v>
      </c>
      <c r="M54" s="303">
        <v>10000</v>
      </c>
      <c r="N54" s="303">
        <v>10000</v>
      </c>
      <c r="O54" s="479">
        <f t="shared" si="14"/>
        <v>60000</v>
      </c>
      <c r="P54" s="1032"/>
    </row>
    <row r="55" spans="1:16" ht="50.25" customHeight="1">
      <c r="A55" s="5"/>
      <c r="B55" s="481" t="s">
        <v>409</v>
      </c>
      <c r="C55" s="600"/>
      <c r="D55" s="303"/>
      <c r="E55" s="303"/>
      <c r="F55" s="303"/>
      <c r="G55" s="303"/>
      <c r="H55" s="303"/>
      <c r="I55" s="303">
        <v>5000</v>
      </c>
      <c r="J55" s="303">
        <v>5000</v>
      </c>
      <c r="K55" s="303">
        <v>5000</v>
      </c>
      <c r="L55" s="303">
        <v>5000</v>
      </c>
      <c r="M55" s="303">
        <v>5000</v>
      </c>
      <c r="N55" s="303">
        <v>5000</v>
      </c>
      <c r="O55" s="479">
        <f t="shared" si="14"/>
        <v>30000</v>
      </c>
      <c r="P55" s="1032"/>
    </row>
    <row r="56" spans="1:16" ht="37.5" customHeight="1">
      <c r="A56" s="5"/>
      <c r="B56" s="481" t="s">
        <v>410</v>
      </c>
      <c r="C56" s="600"/>
      <c r="D56" s="303"/>
      <c r="E56" s="303"/>
      <c r="F56" s="303"/>
      <c r="G56" s="303"/>
      <c r="H56" s="303"/>
      <c r="I56" s="303"/>
      <c r="J56" s="303"/>
      <c r="K56" s="303"/>
      <c r="L56" s="303"/>
      <c r="M56" s="303"/>
      <c r="N56" s="303"/>
      <c r="O56" s="479">
        <f t="shared" si="14"/>
        <v>0</v>
      </c>
      <c r="P56" s="1032"/>
    </row>
    <row r="57" spans="1:16" ht="38.25" customHeight="1">
      <c r="A57" s="5"/>
      <c r="B57" s="617" t="s">
        <v>740</v>
      </c>
      <c r="C57" s="600"/>
      <c r="D57" s="303"/>
      <c r="E57" s="303"/>
      <c r="F57" s="303"/>
      <c r="G57" s="303"/>
      <c r="H57" s="303"/>
      <c r="I57" s="303">
        <v>5000</v>
      </c>
      <c r="J57" s="303">
        <v>5000</v>
      </c>
      <c r="K57" s="303">
        <v>5000</v>
      </c>
      <c r="L57" s="303">
        <v>5000</v>
      </c>
      <c r="M57" s="303">
        <v>5000</v>
      </c>
      <c r="N57" s="303">
        <v>5000</v>
      </c>
      <c r="O57" s="479">
        <f t="shared" si="14"/>
        <v>30000</v>
      </c>
      <c r="P57" s="1032"/>
    </row>
    <row r="58" spans="1:16" ht="38.25" customHeight="1">
      <c r="A58" s="5"/>
      <c r="B58" s="617" t="s">
        <v>739</v>
      </c>
      <c r="C58" s="600"/>
      <c r="D58" s="303"/>
      <c r="E58" s="303"/>
      <c r="F58" s="303"/>
      <c r="G58" s="303"/>
      <c r="H58" s="303"/>
      <c r="I58" s="303">
        <v>50000</v>
      </c>
      <c r="J58" s="303">
        <v>50000</v>
      </c>
      <c r="K58" s="303">
        <v>50000</v>
      </c>
      <c r="L58" s="303">
        <v>50000</v>
      </c>
      <c r="M58" s="303">
        <v>50000</v>
      </c>
      <c r="N58" s="303">
        <v>50000</v>
      </c>
      <c r="O58" s="479">
        <f t="shared" si="14"/>
        <v>300000</v>
      </c>
      <c r="P58" s="1032"/>
    </row>
    <row r="59" spans="1:16" ht="39" customHeight="1">
      <c r="A59" s="5"/>
      <c r="B59" s="481" t="s">
        <v>142</v>
      </c>
      <c r="C59" s="600"/>
      <c r="D59" s="303"/>
      <c r="E59" s="303"/>
      <c r="F59" s="303"/>
      <c r="G59" s="303"/>
      <c r="H59" s="303"/>
      <c r="I59" s="303"/>
      <c r="J59" s="303"/>
      <c r="K59" s="303"/>
      <c r="L59" s="303"/>
      <c r="M59" s="303"/>
      <c r="N59" s="303"/>
      <c r="O59" s="479">
        <f t="shared" si="14"/>
        <v>0</v>
      </c>
      <c r="P59" s="1032"/>
    </row>
    <row r="60" spans="1:16" ht="43.5" customHeight="1">
      <c r="A60" s="5"/>
      <c r="B60" s="481" t="s">
        <v>143</v>
      </c>
      <c r="C60" s="600"/>
      <c r="D60" s="303"/>
      <c r="E60" s="303"/>
      <c r="F60" s="303"/>
      <c r="G60" s="303"/>
      <c r="H60" s="303"/>
      <c r="I60" s="303"/>
      <c r="J60" s="303"/>
      <c r="K60" s="303"/>
      <c r="L60" s="303"/>
      <c r="M60" s="303"/>
      <c r="N60" s="303"/>
      <c r="O60" s="479">
        <f t="shared" si="14"/>
        <v>0</v>
      </c>
      <c r="P60" s="1032"/>
    </row>
    <row r="61" spans="1:16" ht="46.5" customHeight="1">
      <c r="A61" s="5"/>
      <c r="B61" s="481" t="s">
        <v>144</v>
      </c>
      <c r="C61" s="600"/>
      <c r="D61" s="303"/>
      <c r="E61" s="303"/>
      <c r="F61" s="303"/>
      <c r="G61" s="303"/>
      <c r="H61" s="303"/>
      <c r="I61" s="303"/>
      <c r="J61" s="303"/>
      <c r="K61" s="303"/>
      <c r="L61" s="303"/>
      <c r="M61" s="303"/>
      <c r="N61" s="303"/>
      <c r="O61" s="479">
        <f t="shared" si="14"/>
        <v>0</v>
      </c>
      <c r="P61" s="1032"/>
    </row>
    <row r="62" spans="1:16" ht="22.5" customHeight="1">
      <c r="A62" s="5"/>
      <c r="B62" s="482" t="s">
        <v>427</v>
      </c>
      <c r="C62" s="600"/>
      <c r="D62" s="303"/>
      <c r="E62" s="303"/>
      <c r="F62" s="303"/>
      <c r="G62" s="303"/>
      <c r="H62" s="303"/>
      <c r="I62" s="303"/>
      <c r="J62" s="303"/>
      <c r="K62" s="303"/>
      <c r="L62" s="303"/>
      <c r="M62" s="303"/>
      <c r="N62" s="303"/>
      <c r="O62" s="479">
        <f t="shared" si="14"/>
        <v>0</v>
      </c>
      <c r="P62" s="1032"/>
    </row>
    <row r="63" spans="1:16" ht="32.25" customHeight="1">
      <c r="A63" s="5"/>
      <c r="B63" s="590"/>
      <c r="C63" s="578"/>
      <c r="D63" s="293"/>
      <c r="E63" s="293"/>
      <c r="F63" s="293"/>
      <c r="G63" s="293"/>
      <c r="H63" s="293"/>
      <c r="I63" s="293"/>
      <c r="J63" s="293"/>
      <c r="K63" s="293"/>
      <c r="L63" s="293"/>
      <c r="M63" s="293"/>
      <c r="N63" s="293"/>
      <c r="O63" s="479">
        <f t="shared" si="14"/>
        <v>0</v>
      </c>
      <c r="P63" s="300"/>
    </row>
    <row r="64" spans="1:16" ht="22.5" customHeight="1">
      <c r="A64" s="5"/>
      <c r="B64" s="590"/>
      <c r="C64" s="578"/>
      <c r="D64" s="293"/>
      <c r="E64" s="293"/>
      <c r="F64" s="293"/>
      <c r="G64" s="293"/>
      <c r="H64" s="293"/>
      <c r="I64" s="293"/>
      <c r="J64" s="293"/>
      <c r="K64" s="293"/>
      <c r="L64" s="293"/>
      <c r="M64" s="293"/>
      <c r="N64" s="293"/>
      <c r="O64" s="479">
        <f t="shared" si="14"/>
        <v>0</v>
      </c>
      <c r="P64" s="300"/>
    </row>
    <row r="65" spans="1:16" ht="27" customHeight="1">
      <c r="A65" s="5"/>
      <c r="B65" s="590"/>
      <c r="C65" s="578"/>
      <c r="D65" s="293"/>
      <c r="E65" s="293"/>
      <c r="F65" s="293"/>
      <c r="G65" s="293"/>
      <c r="H65" s="293"/>
      <c r="I65" s="293"/>
      <c r="J65" s="293"/>
      <c r="K65" s="293"/>
      <c r="L65" s="293"/>
      <c r="M65" s="293"/>
      <c r="N65" s="293"/>
      <c r="O65" s="479">
        <f t="shared" si="14"/>
        <v>0</v>
      </c>
      <c r="P65" s="300"/>
    </row>
    <row r="66" spans="1:16" ht="23.25" customHeight="1">
      <c r="A66" s="5"/>
      <c r="B66" s="590"/>
      <c r="C66" s="578"/>
      <c r="D66" s="293"/>
      <c r="E66" s="293"/>
      <c r="F66" s="293"/>
      <c r="G66" s="293"/>
      <c r="H66" s="293"/>
      <c r="I66" s="293"/>
      <c r="J66" s="293"/>
      <c r="K66" s="293"/>
      <c r="L66" s="293"/>
      <c r="M66" s="293"/>
      <c r="N66" s="293"/>
      <c r="O66" s="479">
        <f t="shared" si="14"/>
        <v>0</v>
      </c>
      <c r="P66" s="300"/>
    </row>
    <row r="67" spans="1:16" ht="27" customHeight="1" thickBot="1">
      <c r="A67" s="5"/>
      <c r="B67" s="591" t="s">
        <v>151</v>
      </c>
      <c r="C67" s="599"/>
      <c r="D67" s="297"/>
      <c r="E67" s="297"/>
      <c r="F67" s="297"/>
      <c r="G67" s="297"/>
      <c r="H67" s="297"/>
      <c r="I67" s="297"/>
      <c r="J67" s="297"/>
      <c r="K67" s="297"/>
      <c r="L67" s="297"/>
      <c r="M67" s="297"/>
      <c r="N67" s="297"/>
      <c r="O67" s="629">
        <f>SUM(C67:N67)</f>
        <v>0</v>
      </c>
      <c r="P67" s="300"/>
    </row>
    <row r="68" spans="1:16" ht="39" customHeight="1" thickBot="1">
      <c r="A68" s="5"/>
      <c r="B68" s="587" t="s">
        <v>156</v>
      </c>
      <c r="C68" s="598">
        <f t="shared" ref="C68:N68" si="23">SUM(C15,C45)</f>
        <v>0</v>
      </c>
      <c r="D68" s="305">
        <f t="shared" si="23"/>
        <v>0</v>
      </c>
      <c r="E68" s="305">
        <f t="shared" si="23"/>
        <v>0</v>
      </c>
      <c r="F68" s="305">
        <f t="shared" si="23"/>
        <v>0</v>
      </c>
      <c r="G68" s="305">
        <f t="shared" si="23"/>
        <v>0</v>
      </c>
      <c r="H68" s="305">
        <f t="shared" si="23"/>
        <v>0</v>
      </c>
      <c r="I68" s="305">
        <f t="shared" si="23"/>
        <v>275805</v>
      </c>
      <c r="J68" s="305">
        <f t="shared" si="23"/>
        <v>824815</v>
      </c>
      <c r="K68" s="305">
        <f t="shared" si="23"/>
        <v>451805</v>
      </c>
      <c r="L68" s="305">
        <f t="shared" si="23"/>
        <v>446795</v>
      </c>
      <c r="M68" s="305">
        <f t="shared" si="23"/>
        <v>275805</v>
      </c>
      <c r="N68" s="305">
        <f t="shared" si="23"/>
        <v>282574</v>
      </c>
      <c r="O68" s="306">
        <f t="shared" si="14"/>
        <v>2557599</v>
      </c>
      <c r="P68" s="1110" t="s">
        <v>311</v>
      </c>
    </row>
    <row r="69" spans="1:16" ht="48.75" customHeight="1" thickBot="1">
      <c r="A69" s="5"/>
      <c r="B69" s="592" t="s">
        <v>157</v>
      </c>
      <c r="C69" s="601">
        <f t="shared" ref="C69:N69" si="24">C67+C44-C11</f>
        <v>0</v>
      </c>
      <c r="D69" s="310">
        <f t="shared" si="24"/>
        <v>0</v>
      </c>
      <c r="E69" s="310">
        <f t="shared" si="24"/>
        <v>0</v>
      </c>
      <c r="F69" s="310">
        <f t="shared" si="24"/>
        <v>0</v>
      </c>
      <c r="G69" s="310">
        <f t="shared" si="24"/>
        <v>0</v>
      </c>
      <c r="H69" s="310">
        <f t="shared" si="24"/>
        <v>0</v>
      </c>
      <c r="I69" s="310">
        <f t="shared" si="24"/>
        <v>0</v>
      </c>
      <c r="J69" s="310">
        <f t="shared" si="24"/>
        <v>0</v>
      </c>
      <c r="K69" s="310">
        <f t="shared" si="24"/>
        <v>0</v>
      </c>
      <c r="L69" s="310">
        <f t="shared" si="24"/>
        <v>0</v>
      </c>
      <c r="M69" s="310">
        <f t="shared" si="24"/>
        <v>0</v>
      </c>
      <c r="N69" s="310">
        <f t="shared" si="24"/>
        <v>0</v>
      </c>
      <c r="O69" s="304">
        <f t="shared" si="14"/>
        <v>0</v>
      </c>
      <c r="P69" s="1110"/>
    </row>
    <row r="70" spans="1:16" ht="57.75" customHeight="1">
      <c r="A70" s="5"/>
      <c r="B70" s="593" t="s">
        <v>158</v>
      </c>
      <c r="C70" s="578">
        <f t="shared" ref="C70:N70" si="25">SUM(C6:C10)-SUM(C17,C20,C23,C24,C27,C28,C29,C32,C35,C36,C37,C38,C39)-SUM(C46:C66)</f>
        <v>0</v>
      </c>
      <c r="D70" s="293">
        <f t="shared" si="25"/>
        <v>0</v>
      </c>
      <c r="E70" s="293">
        <f t="shared" si="25"/>
        <v>0</v>
      </c>
      <c r="F70" s="293">
        <f t="shared" si="25"/>
        <v>0</v>
      </c>
      <c r="G70" s="293">
        <f t="shared" si="25"/>
        <v>0</v>
      </c>
      <c r="H70" s="293">
        <f t="shared" si="25"/>
        <v>0</v>
      </c>
      <c r="I70" s="293">
        <f t="shared" si="25"/>
        <v>1707528</v>
      </c>
      <c r="J70" s="293">
        <f t="shared" si="25"/>
        <v>-674815</v>
      </c>
      <c r="K70" s="293">
        <f t="shared" si="25"/>
        <v>-251805</v>
      </c>
      <c r="L70" s="293">
        <f t="shared" si="25"/>
        <v>-246795</v>
      </c>
      <c r="M70" s="293">
        <f t="shared" si="25"/>
        <v>-25805</v>
      </c>
      <c r="N70" s="293">
        <f t="shared" si="25"/>
        <v>-32574</v>
      </c>
      <c r="O70" s="296">
        <f t="shared" si="14"/>
        <v>475734</v>
      </c>
      <c r="P70" s="1114" t="s">
        <v>315</v>
      </c>
    </row>
    <row r="71" spans="1:16" ht="40.5" customHeight="1" thickBot="1">
      <c r="A71" s="5"/>
      <c r="B71" s="584" t="s">
        <v>159</v>
      </c>
      <c r="C71" s="599">
        <f t="shared" ref="C71:N71" si="26">C5+C12-C68+C69</f>
        <v>0</v>
      </c>
      <c r="D71" s="297">
        <f t="shared" si="26"/>
        <v>0</v>
      </c>
      <c r="E71" s="297">
        <f t="shared" si="26"/>
        <v>0</v>
      </c>
      <c r="F71" s="297">
        <f t="shared" si="26"/>
        <v>0</v>
      </c>
      <c r="G71" s="297">
        <f t="shared" si="26"/>
        <v>0</v>
      </c>
      <c r="H71" s="297">
        <f t="shared" si="26"/>
        <v>0</v>
      </c>
      <c r="I71" s="297">
        <f t="shared" si="26"/>
        <v>1707528</v>
      </c>
      <c r="J71" s="297">
        <f t="shared" si="26"/>
        <v>1032713</v>
      </c>
      <c r="K71" s="297">
        <f t="shared" si="26"/>
        <v>780908</v>
      </c>
      <c r="L71" s="297">
        <f t="shared" si="26"/>
        <v>534113</v>
      </c>
      <c r="M71" s="297">
        <f t="shared" si="26"/>
        <v>508308</v>
      </c>
      <c r="N71" s="297">
        <f t="shared" si="26"/>
        <v>475734</v>
      </c>
      <c r="O71" s="309">
        <f>N71</f>
        <v>475734</v>
      </c>
      <c r="P71" s="1115"/>
    </row>
    <row r="72" spans="1:16" ht="45" customHeight="1" thickBot="1">
      <c r="A72" s="5"/>
      <c r="B72" s="442"/>
      <c r="C72" s="443"/>
      <c r="D72" s="443"/>
      <c r="E72" s="443"/>
      <c r="F72" s="443"/>
      <c r="G72" s="444"/>
      <c r="H72" s="444"/>
      <c r="I72" s="444"/>
      <c r="J72" s="444"/>
      <c r="K72" s="444"/>
      <c r="L72" s="444"/>
      <c r="M72" s="444"/>
      <c r="N72" s="444"/>
      <c r="O72" s="445"/>
      <c r="P72" s="307" t="s">
        <v>314</v>
      </c>
    </row>
    <row r="73" spans="1:16" ht="20.25">
      <c r="B73" s="1119" t="s">
        <v>461</v>
      </c>
      <c r="C73" s="1119"/>
      <c r="D73" s="1119"/>
      <c r="E73" s="1119"/>
      <c r="F73" s="1119"/>
      <c r="G73" s="486"/>
      <c r="H73" s="486"/>
      <c r="I73" s="486"/>
      <c r="J73" s="486"/>
      <c r="K73" s="486"/>
      <c r="L73" s="486"/>
      <c r="M73" s="486"/>
      <c r="N73" s="486"/>
      <c r="O73" s="486"/>
    </row>
    <row r="74" spans="1:16" ht="168" customHeight="1">
      <c r="B74" s="446"/>
      <c r="C74" s="446"/>
      <c r="D74" s="446"/>
      <c r="E74" s="446"/>
      <c r="F74" s="446"/>
      <c r="G74" s="449"/>
      <c r="H74" s="450"/>
      <c r="I74" s="450"/>
      <c r="J74" s="450"/>
      <c r="K74" s="450"/>
      <c r="L74" s="451"/>
      <c r="M74" s="450"/>
      <c r="N74" s="450"/>
      <c r="O74" s="451"/>
    </row>
    <row r="75" spans="1:16" ht="39" customHeight="1">
      <c r="B75" s="1117" t="s">
        <v>459</v>
      </c>
      <c r="C75" s="1117"/>
      <c r="D75" s="1117"/>
      <c r="E75" s="1117"/>
      <c r="F75" s="1117"/>
      <c r="G75" s="449"/>
      <c r="H75" s="449"/>
      <c r="I75" s="449"/>
      <c r="J75" s="449"/>
      <c r="K75" s="449"/>
      <c r="L75" s="449"/>
      <c r="M75" s="449"/>
      <c r="N75" s="449"/>
      <c r="O75" s="449"/>
    </row>
    <row r="76" spans="1:16" ht="20.25">
      <c r="B76" s="1117" t="s">
        <v>460</v>
      </c>
      <c r="C76" s="1117"/>
      <c r="D76" s="1117"/>
      <c r="E76" s="1117"/>
      <c r="F76" s="1117"/>
      <c r="G76" s="449"/>
      <c r="H76" s="449"/>
      <c r="I76" s="449"/>
      <c r="J76" s="449"/>
      <c r="K76" s="449"/>
      <c r="L76" s="449"/>
      <c r="M76" s="449"/>
      <c r="N76" s="449"/>
      <c r="O76" s="449"/>
    </row>
    <row r="77" spans="1:16" ht="25.5" customHeight="1">
      <c r="B77" s="447"/>
      <c r="C77" s="446"/>
      <c r="D77" s="446"/>
      <c r="E77" s="446"/>
      <c r="F77" s="446"/>
      <c r="G77" s="447"/>
      <c r="H77" s="447"/>
      <c r="I77" s="447"/>
      <c r="J77" s="447"/>
      <c r="K77" s="447"/>
      <c r="L77" s="447"/>
      <c r="M77" s="447"/>
      <c r="N77" s="447"/>
      <c r="O77" s="448"/>
    </row>
    <row r="78" spans="1:16" ht="13.5" customHeight="1">
      <c r="B78" s="1118" t="s">
        <v>422</v>
      </c>
      <c r="C78" s="1118"/>
      <c r="D78" s="1118"/>
      <c r="E78" s="1118"/>
      <c r="F78" s="1118"/>
      <c r="G78" s="449"/>
      <c r="H78" s="449"/>
      <c r="I78" s="449"/>
      <c r="J78" s="449"/>
      <c r="K78" s="449"/>
      <c r="L78" s="449"/>
      <c r="M78" s="449"/>
      <c r="N78" s="449"/>
      <c r="O78" s="449"/>
    </row>
    <row r="79" spans="1:16" ht="33" customHeight="1">
      <c r="B79" s="449"/>
      <c r="C79" s="446"/>
      <c r="D79" s="446"/>
      <c r="E79" s="446"/>
      <c r="F79" s="446"/>
      <c r="G79" s="449"/>
      <c r="H79" s="450"/>
      <c r="I79" s="450"/>
      <c r="J79" s="450"/>
      <c r="K79" s="450"/>
      <c r="L79" s="451"/>
      <c r="M79" s="450"/>
      <c r="N79" s="450"/>
      <c r="O79" s="451"/>
    </row>
    <row r="80" spans="1:16" ht="33.75" customHeight="1">
      <c r="B80" s="449"/>
      <c r="C80" s="446"/>
      <c r="D80" s="446"/>
      <c r="E80" s="446"/>
      <c r="F80" s="446"/>
      <c r="G80" s="449"/>
      <c r="H80" s="450"/>
      <c r="I80" s="450"/>
      <c r="J80" s="450"/>
      <c r="K80" s="450"/>
      <c r="L80" s="451"/>
      <c r="M80" s="450"/>
      <c r="N80" s="450"/>
      <c r="O80" s="451"/>
    </row>
    <row r="81" spans="2:15" ht="20.25">
      <c r="B81" s="1117" t="s">
        <v>459</v>
      </c>
      <c r="C81" s="1117"/>
      <c r="D81" s="1117"/>
      <c r="E81" s="1117"/>
      <c r="F81" s="1117"/>
      <c r="G81" s="449"/>
      <c r="H81" s="449"/>
      <c r="I81" s="449"/>
      <c r="J81" s="449"/>
      <c r="K81" s="449"/>
      <c r="L81" s="449"/>
      <c r="M81" s="449"/>
      <c r="N81" s="449"/>
      <c r="O81" s="449"/>
    </row>
    <row r="82" spans="2:15">
      <c r="J82" s="12"/>
    </row>
  </sheetData>
  <sheetProtection formatCells="0" formatRows="0"/>
  <mergeCells count="13">
    <mergeCell ref="B76:F76"/>
    <mergeCell ref="B78:F78"/>
    <mergeCell ref="B81:F81"/>
    <mergeCell ref="B73:F73"/>
    <mergeCell ref="B75:F75"/>
    <mergeCell ref="P3:P4"/>
    <mergeCell ref="P46:P62"/>
    <mergeCell ref="P68:P69"/>
    <mergeCell ref="C13:O13"/>
    <mergeCell ref="P70:P71"/>
    <mergeCell ref="P5:P17"/>
    <mergeCell ref="P20:P23"/>
    <mergeCell ref="P30:P32"/>
  </mergeCells>
  <dataValidations count="1">
    <dataValidation type="whole" allowBlank="1" showInputMessage="1" showErrorMessage="1" sqref="H14:N14 O5:O12 H45:N45 I26:I27 H68:N68 H25 J27:N27 O14:O71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5"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34" activePane="bottomRight" state="frozen"/>
      <selection activeCell="B2" sqref="B2:G2"/>
      <selection pane="topRight" activeCell="B2" sqref="B2:G2"/>
      <selection pane="bottomLeft" activeCell="B2" sqref="B2:G2"/>
      <selection pane="bottomRight" activeCell="I33" sqref="I33"/>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5" customWidth="1"/>
    <col min="17" max="16384" width="9.140625" style="12"/>
  </cols>
  <sheetData>
    <row r="1" spans="1:16" ht="36.75" customHeight="1" thickBot="1">
      <c r="A1" s="5"/>
      <c r="B1" s="315" t="s">
        <v>501</v>
      </c>
      <c r="C1" s="517"/>
      <c r="D1" s="517"/>
      <c r="E1" s="517"/>
      <c r="F1" s="517"/>
      <c r="G1" s="517"/>
      <c r="H1" s="517"/>
      <c r="I1" s="517"/>
      <c r="J1" s="517"/>
      <c r="K1" s="517"/>
      <c r="L1" s="517"/>
      <c r="M1" s="517"/>
      <c r="N1" s="517"/>
      <c r="O1" s="518"/>
      <c r="P1" s="610" t="s">
        <v>207</v>
      </c>
    </row>
    <row r="2" spans="1:16" ht="20.25" customHeight="1" thickBot="1">
      <c r="A2" s="5"/>
      <c r="B2" s="583" t="s">
        <v>622</v>
      </c>
      <c r="C2" s="594">
        <v>1</v>
      </c>
      <c r="D2" s="320">
        <v>2</v>
      </c>
      <c r="E2" s="320">
        <v>3</v>
      </c>
      <c r="F2" s="320">
        <v>4</v>
      </c>
      <c r="G2" s="321">
        <v>5</v>
      </c>
      <c r="H2" s="321">
        <v>6</v>
      </c>
      <c r="I2" s="321">
        <v>7</v>
      </c>
      <c r="J2" s="321">
        <v>8</v>
      </c>
      <c r="K2" s="321">
        <v>9</v>
      </c>
      <c r="L2" s="321">
        <v>10</v>
      </c>
      <c r="M2" s="321">
        <v>11</v>
      </c>
      <c r="N2" s="321">
        <v>12</v>
      </c>
      <c r="O2" s="322" t="s">
        <v>105</v>
      </c>
      <c r="P2" s="609" t="s">
        <v>286</v>
      </c>
    </row>
    <row r="3" spans="1:16" ht="24.75" customHeight="1" thickBot="1">
      <c r="A3" s="5"/>
      <c r="B3" s="614" t="s">
        <v>313</v>
      </c>
      <c r="C3" s="595" t="s">
        <v>125</v>
      </c>
      <c r="D3" s="323" t="s">
        <v>126</v>
      </c>
      <c r="E3" s="323" t="s">
        <v>127</v>
      </c>
      <c r="F3" s="323" t="s">
        <v>128</v>
      </c>
      <c r="G3" s="323" t="s">
        <v>129</v>
      </c>
      <c r="H3" s="323" t="s">
        <v>130</v>
      </c>
      <c r="I3" s="323" t="s">
        <v>131</v>
      </c>
      <c r="J3" s="323" t="s">
        <v>214</v>
      </c>
      <c r="K3" s="323" t="s">
        <v>312</v>
      </c>
      <c r="L3" s="323" t="s">
        <v>215</v>
      </c>
      <c r="M3" s="323" t="s">
        <v>216</v>
      </c>
      <c r="N3" s="323" t="s">
        <v>217</v>
      </c>
      <c r="O3" s="324" t="s">
        <v>229</v>
      </c>
      <c r="P3" s="1031" t="s">
        <v>522</v>
      </c>
    </row>
    <row r="4" spans="1:16" ht="28.5" customHeight="1" thickBot="1">
      <c r="A4" s="5"/>
      <c r="B4" s="606" t="s">
        <v>132</v>
      </c>
      <c r="C4" s="18"/>
      <c r="D4" s="316"/>
      <c r="E4" s="316"/>
      <c r="F4" s="316"/>
      <c r="G4" s="317"/>
      <c r="H4" s="317"/>
      <c r="I4" s="317"/>
      <c r="J4" s="317"/>
      <c r="K4" s="317"/>
      <c r="L4" s="317"/>
      <c r="M4" s="317"/>
      <c r="N4" s="317"/>
      <c r="O4" s="318"/>
      <c r="P4" s="1109"/>
    </row>
    <row r="5" spans="1:16" ht="27.75" customHeight="1">
      <c r="A5" s="5"/>
      <c r="B5" s="585" t="s">
        <v>133</v>
      </c>
      <c r="C5" s="596">
        <f>'10.a-Cash-flow 1. év'!N71</f>
        <v>475734</v>
      </c>
      <c r="D5" s="294">
        <f>C71</f>
        <v>449929</v>
      </c>
      <c r="E5" s="294">
        <f t="shared" ref="E5:N5" si="0">D71</f>
        <v>424124</v>
      </c>
      <c r="F5" s="294">
        <f t="shared" si="0"/>
        <v>1148319</v>
      </c>
      <c r="G5" s="294">
        <f t="shared" si="0"/>
        <v>1122514</v>
      </c>
      <c r="H5" s="294">
        <f t="shared" si="0"/>
        <v>1096709</v>
      </c>
      <c r="I5" s="294">
        <f t="shared" si="0"/>
        <v>1070904</v>
      </c>
      <c r="J5" s="294">
        <f t="shared" si="0"/>
        <v>1793357</v>
      </c>
      <c r="K5" s="294">
        <f t="shared" si="0"/>
        <v>1765810</v>
      </c>
      <c r="L5" s="294">
        <f t="shared" si="0"/>
        <v>1738263</v>
      </c>
      <c r="M5" s="294">
        <f t="shared" si="0"/>
        <v>1710716</v>
      </c>
      <c r="N5" s="294">
        <f t="shared" si="0"/>
        <v>1683169</v>
      </c>
      <c r="O5" s="536"/>
      <c r="P5" s="739" t="s">
        <v>497</v>
      </c>
    </row>
    <row r="6" spans="1:16" ht="27" customHeight="1">
      <c r="A6" s="5"/>
      <c r="B6" s="586" t="s">
        <v>134</v>
      </c>
      <c r="C6" s="578">
        <v>250000</v>
      </c>
      <c r="D6" s="293">
        <v>250000</v>
      </c>
      <c r="E6" s="293">
        <v>250000</v>
      </c>
      <c r="F6" s="293">
        <v>250000</v>
      </c>
      <c r="G6" s="293">
        <v>250000</v>
      </c>
      <c r="H6" s="293">
        <v>250000</v>
      </c>
      <c r="I6" s="293">
        <v>250000</v>
      </c>
      <c r="J6" s="293">
        <v>250000</v>
      </c>
      <c r="K6" s="293">
        <v>250000</v>
      </c>
      <c r="L6" s="293">
        <v>250000</v>
      </c>
      <c r="M6" s="293">
        <v>250000</v>
      </c>
      <c r="N6" s="293">
        <v>250000</v>
      </c>
      <c r="O6" s="296">
        <f>SUM(C6:N6)</f>
        <v>3000000</v>
      </c>
      <c r="P6" s="740"/>
    </row>
    <row r="7" spans="1:16" ht="32.25" customHeight="1">
      <c r="A7" s="5"/>
      <c r="B7" s="620" t="s">
        <v>135</v>
      </c>
      <c r="C7" s="578"/>
      <c r="D7" s="293"/>
      <c r="E7" s="293"/>
      <c r="F7" s="293"/>
      <c r="G7" s="293"/>
      <c r="H7" s="293"/>
      <c r="I7" s="293"/>
      <c r="J7" s="293"/>
      <c r="K7" s="299"/>
      <c r="L7" s="299"/>
      <c r="M7" s="299"/>
      <c r="N7" s="299"/>
      <c r="O7" s="296">
        <f t="shared" ref="O7:O12" si="1">SUM(C7:N7)</f>
        <v>0</v>
      </c>
      <c r="P7" s="740"/>
    </row>
    <row r="8" spans="1:16" ht="32.25" customHeight="1">
      <c r="A8" s="5"/>
      <c r="B8" s="620" t="s">
        <v>136</v>
      </c>
      <c r="C8" s="578"/>
      <c r="D8" s="293"/>
      <c r="E8" s="293"/>
      <c r="F8" s="293"/>
      <c r="G8" s="293"/>
      <c r="H8" s="293"/>
      <c r="I8" s="293"/>
      <c r="J8" s="293"/>
      <c r="K8" s="299"/>
      <c r="L8" s="299"/>
      <c r="M8" s="299"/>
      <c r="N8" s="299"/>
      <c r="O8" s="296">
        <f t="shared" si="1"/>
        <v>0</v>
      </c>
      <c r="P8" s="740"/>
    </row>
    <row r="9" spans="1:16" ht="32.25" customHeight="1">
      <c r="A9" s="5"/>
      <c r="B9" s="620" t="s">
        <v>137</v>
      </c>
      <c r="C9" s="578"/>
      <c r="D9" s="293"/>
      <c r="E9" s="293">
        <v>750000</v>
      </c>
      <c r="F9" s="293"/>
      <c r="G9" s="293"/>
      <c r="H9" s="293"/>
      <c r="I9" s="293">
        <v>750000</v>
      </c>
      <c r="J9" s="293"/>
      <c r="K9" s="299"/>
      <c r="L9" s="299"/>
      <c r="M9" s="299"/>
      <c r="N9" s="299"/>
      <c r="O9" s="296">
        <f t="shared" si="1"/>
        <v>1500000</v>
      </c>
      <c r="P9" s="740"/>
    </row>
    <row r="10" spans="1:16" ht="32.25" customHeight="1">
      <c r="A10" s="5"/>
      <c r="B10" s="620" t="s">
        <v>138</v>
      </c>
      <c r="C10" s="578"/>
      <c r="D10" s="293"/>
      <c r="E10" s="293"/>
      <c r="F10" s="293"/>
      <c r="G10" s="293"/>
      <c r="H10" s="293"/>
      <c r="I10" s="293"/>
      <c r="J10" s="293"/>
      <c r="K10" s="299"/>
      <c r="L10" s="299"/>
      <c r="M10" s="299"/>
      <c r="N10" s="299"/>
      <c r="O10" s="296">
        <f t="shared" si="1"/>
        <v>0</v>
      </c>
      <c r="P10" s="740"/>
    </row>
    <row r="11" spans="1:16" ht="32.25" customHeight="1" thickBot="1">
      <c r="A11" s="5"/>
      <c r="B11" s="586" t="s">
        <v>139</v>
      </c>
      <c r="C11" s="597"/>
      <c r="D11" s="301"/>
      <c r="E11" s="301"/>
      <c r="F11" s="301"/>
      <c r="G11" s="301"/>
      <c r="H11" s="301"/>
      <c r="I11" s="301"/>
      <c r="J11" s="301"/>
      <c r="K11" s="301"/>
      <c r="L11" s="301"/>
      <c r="M11" s="301"/>
      <c r="N11" s="301"/>
      <c r="O11" s="302">
        <f t="shared" si="1"/>
        <v>0</v>
      </c>
      <c r="P11" s="740"/>
    </row>
    <row r="12" spans="1:16" ht="32.25" customHeight="1" thickBot="1">
      <c r="A12" s="5"/>
      <c r="B12" s="587" t="s">
        <v>140</v>
      </c>
      <c r="C12" s="598">
        <f>SUM(C6:C11)</f>
        <v>250000</v>
      </c>
      <c r="D12" s="305">
        <f t="shared" ref="D12:N12" si="2">SUM(D6:D11)</f>
        <v>250000</v>
      </c>
      <c r="E12" s="305">
        <f t="shared" si="2"/>
        <v>1000000</v>
      </c>
      <c r="F12" s="305">
        <f t="shared" si="2"/>
        <v>250000</v>
      </c>
      <c r="G12" s="305">
        <f t="shared" si="2"/>
        <v>250000</v>
      </c>
      <c r="H12" s="305">
        <f t="shared" si="2"/>
        <v>250000</v>
      </c>
      <c r="I12" s="305">
        <f t="shared" si="2"/>
        <v>1000000</v>
      </c>
      <c r="J12" s="305">
        <f t="shared" si="2"/>
        <v>250000</v>
      </c>
      <c r="K12" s="305">
        <f t="shared" si="2"/>
        <v>250000</v>
      </c>
      <c r="L12" s="305">
        <f t="shared" si="2"/>
        <v>250000</v>
      </c>
      <c r="M12" s="305">
        <f t="shared" si="2"/>
        <v>250000</v>
      </c>
      <c r="N12" s="305">
        <f t="shared" si="2"/>
        <v>250000</v>
      </c>
      <c r="O12" s="306">
        <f t="shared" si="1"/>
        <v>4500000</v>
      </c>
      <c r="P12" s="740"/>
    </row>
    <row r="13" spans="1:16" ht="14.25" customHeight="1" thickBot="1">
      <c r="A13" s="5"/>
      <c r="B13" s="588"/>
      <c r="C13" s="1111"/>
      <c r="D13" s="1112"/>
      <c r="E13" s="1112"/>
      <c r="F13" s="1112"/>
      <c r="G13" s="1112"/>
      <c r="H13" s="1112"/>
      <c r="I13" s="1112"/>
      <c r="J13" s="1112"/>
      <c r="K13" s="1112"/>
      <c r="L13" s="1112"/>
      <c r="M13" s="1112"/>
      <c r="N13" s="1112"/>
      <c r="O13" s="1113"/>
      <c r="P13" s="740"/>
    </row>
    <row r="14" spans="1:16" ht="32.25" customHeight="1" thickBot="1">
      <c r="A14" s="5"/>
      <c r="B14" s="615" t="s">
        <v>141</v>
      </c>
      <c r="C14" s="311"/>
      <c r="D14" s="312"/>
      <c r="E14" s="312"/>
      <c r="F14" s="312"/>
      <c r="G14" s="313"/>
      <c r="H14" s="313"/>
      <c r="I14" s="313"/>
      <c r="J14" s="313"/>
      <c r="K14" s="313"/>
      <c r="L14" s="313"/>
      <c r="M14" s="313"/>
      <c r="N14" s="313"/>
      <c r="O14" s="314"/>
      <c r="P14" s="740" t="s">
        <v>411</v>
      </c>
    </row>
    <row r="15" spans="1:16" ht="32.25" customHeight="1">
      <c r="A15" s="5"/>
      <c r="B15" s="589" t="s">
        <v>469</v>
      </c>
      <c r="C15" s="596">
        <f>SUM(C17,C20,C23,C24,C27,C28,C29,C32,C35,C36,C37,C38,C39,C44)</f>
        <v>200805</v>
      </c>
      <c r="D15" s="294">
        <f t="shared" ref="D15:N15" si="3">SUM(D17,D20,D23,D24,D27,D28,D29,D32,D35,D36,D37,D38,D39,D44)</f>
        <v>200805</v>
      </c>
      <c r="E15" s="294">
        <f t="shared" si="3"/>
        <v>200805</v>
      </c>
      <c r="F15" s="294">
        <f t="shared" si="3"/>
        <v>200805</v>
      </c>
      <c r="G15" s="294">
        <f t="shared" si="3"/>
        <v>200805</v>
      </c>
      <c r="H15" s="294">
        <f t="shared" si="3"/>
        <v>200805</v>
      </c>
      <c r="I15" s="294">
        <f t="shared" si="3"/>
        <v>0</v>
      </c>
      <c r="J15" s="294">
        <f t="shared" si="3"/>
        <v>0</v>
      </c>
      <c r="K15" s="294">
        <f t="shared" si="3"/>
        <v>0</v>
      </c>
      <c r="L15" s="294">
        <f t="shared" si="3"/>
        <v>0</v>
      </c>
      <c r="M15" s="294">
        <f t="shared" si="3"/>
        <v>0</v>
      </c>
      <c r="N15" s="294">
        <f t="shared" si="3"/>
        <v>0</v>
      </c>
      <c r="O15" s="295">
        <f t="shared" ref="O15:O70" si="4">SUM(C15:N15)</f>
        <v>1204830</v>
      </c>
      <c r="P15" s="740"/>
    </row>
    <row r="16" spans="1:16" ht="39" customHeight="1" thickBot="1">
      <c r="A16" s="5"/>
      <c r="B16" s="584" t="s">
        <v>496</v>
      </c>
      <c r="C16" s="599">
        <f>C15*0.9</f>
        <v>180724.5</v>
      </c>
      <c r="D16" s="297">
        <f t="shared" ref="D16:N16" si="5">D15*0.9</f>
        <v>180724.5</v>
      </c>
      <c r="E16" s="297">
        <f t="shared" si="5"/>
        <v>180724.5</v>
      </c>
      <c r="F16" s="297">
        <f t="shared" si="5"/>
        <v>180724.5</v>
      </c>
      <c r="G16" s="297">
        <f t="shared" si="5"/>
        <v>180724.5</v>
      </c>
      <c r="H16" s="297">
        <f t="shared" si="5"/>
        <v>180724.5</v>
      </c>
      <c r="I16" s="297">
        <f t="shared" si="5"/>
        <v>0</v>
      </c>
      <c r="J16" s="297">
        <f t="shared" si="5"/>
        <v>0</v>
      </c>
      <c r="K16" s="297">
        <f t="shared" si="5"/>
        <v>0</v>
      </c>
      <c r="L16" s="297">
        <f t="shared" si="5"/>
        <v>0</v>
      </c>
      <c r="M16" s="297">
        <f t="shared" si="5"/>
        <v>0</v>
      </c>
      <c r="N16" s="297">
        <f t="shared" si="5"/>
        <v>0</v>
      </c>
      <c r="O16" s="298">
        <f t="shared" si="4"/>
        <v>1084347</v>
      </c>
      <c r="P16" s="740" t="s">
        <v>499</v>
      </c>
    </row>
    <row r="17" spans="1:16" ht="48.95" customHeight="1" thickBot="1">
      <c r="A17" s="5"/>
      <c r="B17" s="621" t="s">
        <v>470</v>
      </c>
      <c r="C17" s="600">
        <f>SUM(C18:C19)</f>
        <v>0</v>
      </c>
      <c r="D17" s="303">
        <f t="shared" ref="D17:N17" si="6">SUM(D18:D19)</f>
        <v>0</v>
      </c>
      <c r="E17" s="303">
        <f t="shared" si="6"/>
        <v>0</v>
      </c>
      <c r="F17" s="303">
        <f t="shared" si="6"/>
        <v>0</v>
      </c>
      <c r="G17" s="303">
        <f t="shared" si="6"/>
        <v>0</v>
      </c>
      <c r="H17" s="303">
        <f t="shared" si="6"/>
        <v>0</v>
      </c>
      <c r="I17" s="303">
        <f t="shared" si="6"/>
        <v>0</v>
      </c>
      <c r="J17" s="303">
        <f t="shared" si="6"/>
        <v>0</v>
      </c>
      <c r="K17" s="303">
        <f t="shared" si="6"/>
        <v>0</v>
      </c>
      <c r="L17" s="303">
        <f t="shared" si="6"/>
        <v>0</v>
      </c>
      <c r="M17" s="303">
        <f t="shared" si="6"/>
        <v>0</v>
      </c>
      <c r="N17" s="303">
        <f t="shared" si="6"/>
        <v>0</v>
      </c>
      <c r="O17" s="478">
        <f t="shared" si="4"/>
        <v>0</v>
      </c>
      <c r="P17" s="741"/>
    </row>
    <row r="18" spans="1:16" ht="48.95" customHeight="1">
      <c r="A18" s="5"/>
      <c r="B18" s="622" t="s">
        <v>471</v>
      </c>
      <c r="C18" s="578"/>
      <c r="D18" s="293"/>
      <c r="E18" s="293"/>
      <c r="F18" s="293"/>
      <c r="G18" s="293"/>
      <c r="H18" s="293"/>
      <c r="I18" s="293"/>
      <c r="J18" s="293"/>
      <c r="K18" s="293"/>
      <c r="L18" s="293"/>
      <c r="M18" s="293"/>
      <c r="N18" s="293"/>
      <c r="O18" s="479">
        <f t="shared" si="4"/>
        <v>0</v>
      </c>
      <c r="P18" s="612"/>
    </row>
    <row r="19" spans="1:16" ht="48.95" customHeight="1">
      <c r="A19" s="5"/>
      <c r="B19" s="622" t="s">
        <v>148</v>
      </c>
      <c r="C19" s="578"/>
      <c r="D19" s="293"/>
      <c r="E19" s="293"/>
      <c r="F19" s="293"/>
      <c r="G19" s="293"/>
      <c r="H19" s="293"/>
      <c r="I19" s="293"/>
      <c r="J19" s="293"/>
      <c r="K19" s="293"/>
      <c r="L19" s="293"/>
      <c r="M19" s="293"/>
      <c r="N19" s="293"/>
      <c r="O19" s="479">
        <f t="shared" si="4"/>
        <v>0</v>
      </c>
      <c r="P19" s="612"/>
    </row>
    <row r="20" spans="1:16" ht="69.75" customHeight="1">
      <c r="A20" s="5"/>
      <c r="B20" s="621" t="s">
        <v>472</v>
      </c>
      <c r="C20" s="578">
        <f>SUM(C21:C22)</f>
        <v>180500</v>
      </c>
      <c r="D20" s="293">
        <f t="shared" ref="D20:N20" si="7">SUM(D21:D22)</f>
        <v>180500</v>
      </c>
      <c r="E20" s="293">
        <f t="shared" si="7"/>
        <v>180500</v>
      </c>
      <c r="F20" s="293">
        <f t="shared" si="7"/>
        <v>180500</v>
      </c>
      <c r="G20" s="293">
        <f t="shared" si="7"/>
        <v>180500</v>
      </c>
      <c r="H20" s="293">
        <f t="shared" si="7"/>
        <v>180500</v>
      </c>
      <c r="I20" s="293">
        <f t="shared" si="7"/>
        <v>0</v>
      </c>
      <c r="J20" s="293">
        <f t="shared" si="7"/>
        <v>0</v>
      </c>
      <c r="K20" s="293">
        <f t="shared" si="7"/>
        <v>0</v>
      </c>
      <c r="L20" s="293">
        <f t="shared" si="7"/>
        <v>0</v>
      </c>
      <c r="M20" s="293">
        <f t="shared" si="7"/>
        <v>0</v>
      </c>
      <c r="N20" s="293">
        <f t="shared" si="7"/>
        <v>0</v>
      </c>
      <c r="O20" s="479">
        <f t="shared" si="4"/>
        <v>1083000</v>
      </c>
      <c r="P20" s="1116"/>
    </row>
    <row r="21" spans="1:16" ht="48.95" customHeight="1">
      <c r="A21" s="5"/>
      <c r="B21" s="622" t="s">
        <v>473</v>
      </c>
      <c r="C21" s="578">
        <v>180500</v>
      </c>
      <c r="D21" s="293">
        <v>180500</v>
      </c>
      <c r="E21" s="293">
        <v>180500</v>
      </c>
      <c r="F21" s="293">
        <v>180500</v>
      </c>
      <c r="G21" s="293">
        <v>180500</v>
      </c>
      <c r="H21" s="293">
        <v>180500</v>
      </c>
      <c r="I21" s="293"/>
      <c r="J21" s="293"/>
      <c r="K21" s="293"/>
      <c r="L21" s="293"/>
      <c r="M21" s="293"/>
      <c r="N21" s="293"/>
      <c r="O21" s="479">
        <f t="shared" si="4"/>
        <v>1083000</v>
      </c>
      <c r="P21" s="1116"/>
    </row>
    <row r="22" spans="1:16" ht="48.95" customHeight="1">
      <c r="A22" s="5"/>
      <c r="B22" s="622" t="s">
        <v>474</v>
      </c>
      <c r="C22" s="578"/>
      <c r="D22" s="293"/>
      <c r="E22" s="293"/>
      <c r="F22" s="293"/>
      <c r="G22" s="293"/>
      <c r="H22" s="293"/>
      <c r="I22" s="293"/>
      <c r="J22" s="293"/>
      <c r="K22" s="293"/>
      <c r="L22" s="293"/>
      <c r="M22" s="293"/>
      <c r="N22" s="293"/>
      <c r="O22" s="479">
        <f t="shared" si="4"/>
        <v>0</v>
      </c>
      <c r="P22" s="1116"/>
    </row>
    <row r="23" spans="1:16" ht="97.5" customHeight="1">
      <c r="A23" s="5"/>
      <c r="B23" s="621" t="s">
        <v>475</v>
      </c>
      <c r="C23" s="578"/>
      <c r="D23" s="293"/>
      <c r="E23" s="293"/>
      <c r="F23" s="293"/>
      <c r="G23" s="293"/>
      <c r="H23" s="293"/>
      <c r="I23" s="293"/>
      <c r="J23" s="293"/>
      <c r="K23" s="293"/>
      <c r="L23" s="293"/>
      <c r="M23" s="293"/>
      <c r="N23" s="293"/>
      <c r="O23" s="479">
        <f t="shared" si="4"/>
        <v>0</v>
      </c>
      <c r="P23" s="1116"/>
    </row>
    <row r="24" spans="1:16" ht="48.95" customHeight="1">
      <c r="A24" s="5"/>
      <c r="B24" s="621" t="s">
        <v>476</v>
      </c>
      <c r="C24" s="578">
        <f>SUM(C25:C26)</f>
        <v>0</v>
      </c>
      <c r="D24" s="293">
        <f t="shared" ref="D24:N24" si="8">SUM(D25:D26)</f>
        <v>0</v>
      </c>
      <c r="E24" s="293">
        <f t="shared" si="8"/>
        <v>0</v>
      </c>
      <c r="F24" s="293">
        <f t="shared" si="8"/>
        <v>0</v>
      </c>
      <c r="G24" s="293">
        <f t="shared" si="8"/>
        <v>0</v>
      </c>
      <c r="H24" s="293">
        <f t="shared" si="8"/>
        <v>0</v>
      </c>
      <c r="I24" s="293">
        <f t="shared" si="8"/>
        <v>0</v>
      </c>
      <c r="J24" s="293">
        <f t="shared" si="8"/>
        <v>0</v>
      </c>
      <c r="K24" s="293">
        <f t="shared" si="8"/>
        <v>0</v>
      </c>
      <c r="L24" s="293">
        <f t="shared" si="8"/>
        <v>0</v>
      </c>
      <c r="M24" s="293">
        <f t="shared" si="8"/>
        <v>0</v>
      </c>
      <c r="N24" s="293">
        <f t="shared" si="8"/>
        <v>0</v>
      </c>
      <c r="O24" s="479">
        <f t="shared" si="4"/>
        <v>0</v>
      </c>
      <c r="P24" s="612"/>
    </row>
    <row r="25" spans="1:16" ht="48.95" customHeight="1">
      <c r="A25" s="5"/>
      <c r="B25" s="622" t="s">
        <v>477</v>
      </c>
      <c r="C25" s="578"/>
      <c r="D25" s="293"/>
      <c r="E25" s="293"/>
      <c r="F25" s="293"/>
      <c r="G25" s="293"/>
      <c r="H25" s="293"/>
      <c r="I25" s="293"/>
      <c r="J25" s="293"/>
      <c r="K25" s="293"/>
      <c r="L25" s="293"/>
      <c r="M25" s="293"/>
      <c r="N25" s="293"/>
      <c r="O25" s="479">
        <f t="shared" si="4"/>
        <v>0</v>
      </c>
      <c r="P25" s="612"/>
    </row>
    <row r="26" spans="1:16" ht="48.95" customHeight="1">
      <c r="A26" s="5"/>
      <c r="B26" s="622" t="s">
        <v>478</v>
      </c>
      <c r="C26" s="578"/>
      <c r="D26" s="293"/>
      <c r="E26" s="293"/>
      <c r="F26" s="293"/>
      <c r="G26" s="293"/>
      <c r="H26" s="293"/>
      <c r="I26" s="293"/>
      <c r="J26" s="293"/>
      <c r="K26" s="293"/>
      <c r="L26" s="293"/>
      <c r="M26" s="293"/>
      <c r="N26" s="293"/>
      <c r="O26" s="479">
        <f t="shared" si="4"/>
        <v>0</v>
      </c>
      <c r="P26" s="612"/>
    </row>
    <row r="27" spans="1:16" ht="69.75" customHeight="1">
      <c r="A27" s="5"/>
      <c r="B27" s="621" t="s">
        <v>479</v>
      </c>
      <c r="C27" s="578"/>
      <c r="D27" s="293"/>
      <c r="E27" s="293"/>
      <c r="F27" s="293"/>
      <c r="G27" s="293"/>
      <c r="H27" s="293"/>
      <c r="I27" s="293"/>
      <c r="J27" s="293"/>
      <c r="K27" s="293"/>
      <c r="L27" s="293"/>
      <c r="M27" s="293"/>
      <c r="N27" s="293"/>
      <c r="O27" s="479">
        <f t="shared" si="4"/>
        <v>0</v>
      </c>
      <c r="P27" s="612"/>
    </row>
    <row r="28" spans="1:16" ht="78.75" customHeight="1">
      <c r="A28" s="5"/>
      <c r="B28" s="621" t="s">
        <v>480</v>
      </c>
      <c r="C28" s="578"/>
      <c r="D28" s="293"/>
      <c r="E28" s="293"/>
      <c r="F28" s="293"/>
      <c r="G28" s="293"/>
      <c r="H28" s="293"/>
      <c r="I28" s="293"/>
      <c r="J28" s="293"/>
      <c r="K28" s="293"/>
      <c r="L28" s="293"/>
      <c r="M28" s="293"/>
      <c r="N28" s="293"/>
      <c r="O28" s="479">
        <f t="shared" si="4"/>
        <v>0</v>
      </c>
      <c r="P28" s="612"/>
    </row>
    <row r="29" spans="1:16" ht="48.95" customHeight="1">
      <c r="A29" s="5"/>
      <c r="B29" s="623" t="s">
        <v>481</v>
      </c>
      <c r="C29" s="578">
        <f>SUM(C30:C31)</f>
        <v>0</v>
      </c>
      <c r="D29" s="293">
        <f t="shared" ref="D29:N29" si="9">SUM(D30:D31)</f>
        <v>0</v>
      </c>
      <c r="E29" s="293">
        <f t="shared" si="9"/>
        <v>0</v>
      </c>
      <c r="F29" s="293">
        <f t="shared" si="9"/>
        <v>0</v>
      </c>
      <c r="G29" s="293">
        <f t="shared" si="9"/>
        <v>0</v>
      </c>
      <c r="H29" s="293">
        <f t="shared" si="9"/>
        <v>0</v>
      </c>
      <c r="I29" s="293">
        <f t="shared" si="9"/>
        <v>0</v>
      </c>
      <c r="J29" s="293">
        <f t="shared" si="9"/>
        <v>0</v>
      </c>
      <c r="K29" s="293">
        <f t="shared" si="9"/>
        <v>0</v>
      </c>
      <c r="L29" s="293">
        <f t="shared" si="9"/>
        <v>0</v>
      </c>
      <c r="M29" s="293">
        <f t="shared" si="9"/>
        <v>0</v>
      </c>
      <c r="N29" s="293">
        <f t="shared" si="9"/>
        <v>0</v>
      </c>
      <c r="O29" s="479">
        <f t="shared" si="4"/>
        <v>0</v>
      </c>
      <c r="P29" s="1116"/>
    </row>
    <row r="30" spans="1:16" ht="48.95" customHeight="1">
      <c r="A30" s="5"/>
      <c r="B30" s="622" t="s">
        <v>482</v>
      </c>
      <c r="C30" s="578"/>
      <c r="D30" s="293"/>
      <c r="E30" s="293"/>
      <c r="F30" s="293"/>
      <c r="G30" s="293"/>
      <c r="H30" s="293"/>
      <c r="I30" s="293"/>
      <c r="J30" s="293"/>
      <c r="K30" s="293"/>
      <c r="L30" s="293"/>
      <c r="M30" s="293"/>
      <c r="N30" s="293"/>
      <c r="O30" s="479">
        <f t="shared" si="4"/>
        <v>0</v>
      </c>
      <c r="P30" s="1116"/>
    </row>
    <row r="31" spans="1:16" ht="48.95" customHeight="1">
      <c r="A31" s="5"/>
      <c r="B31" s="622" t="s">
        <v>483</v>
      </c>
      <c r="C31" s="578"/>
      <c r="D31" s="293"/>
      <c r="E31" s="293"/>
      <c r="F31" s="293"/>
      <c r="G31" s="293"/>
      <c r="H31" s="293"/>
      <c r="I31" s="293"/>
      <c r="J31" s="293"/>
      <c r="K31" s="293"/>
      <c r="L31" s="293"/>
      <c r="M31" s="293"/>
      <c r="N31" s="293"/>
      <c r="O31" s="479">
        <f t="shared" si="4"/>
        <v>0</v>
      </c>
      <c r="P31" s="1116"/>
    </row>
    <row r="32" spans="1:16" ht="48.95" customHeight="1">
      <c r="A32" s="5"/>
      <c r="B32" s="623" t="s">
        <v>484</v>
      </c>
      <c r="C32" s="578">
        <f>SUM(C33:C34)</f>
        <v>20305</v>
      </c>
      <c r="D32" s="293">
        <f t="shared" ref="D32:N32" si="10">SUM(D33:D34)</f>
        <v>20305</v>
      </c>
      <c r="E32" s="293">
        <f t="shared" si="10"/>
        <v>20305</v>
      </c>
      <c r="F32" s="293">
        <f t="shared" si="10"/>
        <v>20305</v>
      </c>
      <c r="G32" s="293">
        <f t="shared" si="10"/>
        <v>20305</v>
      </c>
      <c r="H32" s="293">
        <f t="shared" si="10"/>
        <v>20305</v>
      </c>
      <c r="I32" s="293">
        <f t="shared" si="10"/>
        <v>0</v>
      </c>
      <c r="J32" s="293">
        <f t="shared" si="10"/>
        <v>0</v>
      </c>
      <c r="K32" s="293">
        <f t="shared" si="10"/>
        <v>0</v>
      </c>
      <c r="L32" s="293">
        <f t="shared" si="10"/>
        <v>0</v>
      </c>
      <c r="M32" s="293">
        <f t="shared" si="10"/>
        <v>0</v>
      </c>
      <c r="N32" s="293">
        <f t="shared" si="10"/>
        <v>0</v>
      </c>
      <c r="O32" s="479">
        <f t="shared" si="4"/>
        <v>121830</v>
      </c>
      <c r="P32" s="612"/>
    </row>
    <row r="33" spans="1:16" ht="48.95" customHeight="1">
      <c r="A33" s="5"/>
      <c r="B33" s="622" t="s">
        <v>485</v>
      </c>
      <c r="C33" s="578">
        <v>20305</v>
      </c>
      <c r="D33" s="578">
        <v>20305</v>
      </c>
      <c r="E33" s="578">
        <v>20305</v>
      </c>
      <c r="F33" s="578">
        <v>20305</v>
      </c>
      <c r="G33" s="578">
        <v>20305</v>
      </c>
      <c r="H33" s="578">
        <v>20305</v>
      </c>
      <c r="I33" s="293"/>
      <c r="J33" s="293"/>
      <c r="K33" s="293"/>
      <c r="L33" s="293"/>
      <c r="M33" s="293"/>
      <c r="N33" s="293"/>
      <c r="O33" s="479">
        <f t="shared" si="4"/>
        <v>121830</v>
      </c>
      <c r="P33" s="612"/>
    </row>
    <row r="34" spans="1:16" ht="48.95" customHeight="1">
      <c r="A34" s="5"/>
      <c r="B34" s="622" t="s">
        <v>486</v>
      </c>
      <c r="C34" s="578"/>
      <c r="D34" s="293"/>
      <c r="E34" s="293"/>
      <c r="F34" s="293"/>
      <c r="G34" s="293"/>
      <c r="H34" s="293"/>
      <c r="I34" s="293"/>
      <c r="J34" s="293"/>
      <c r="K34" s="293"/>
      <c r="L34" s="293"/>
      <c r="M34" s="293"/>
      <c r="N34" s="293"/>
      <c r="O34" s="479">
        <f t="shared" si="4"/>
        <v>0</v>
      </c>
      <c r="P34" s="612"/>
    </row>
    <row r="35" spans="1:16" ht="81" customHeight="1">
      <c r="A35" s="5"/>
      <c r="B35" s="621" t="s">
        <v>487</v>
      </c>
      <c r="C35" s="578"/>
      <c r="D35" s="293"/>
      <c r="E35" s="293"/>
      <c r="F35" s="293"/>
      <c r="G35" s="293"/>
      <c r="H35" s="293"/>
      <c r="I35" s="293"/>
      <c r="J35" s="293"/>
      <c r="K35" s="293"/>
      <c r="L35" s="293"/>
      <c r="M35" s="293"/>
      <c r="N35" s="293"/>
      <c r="O35" s="479">
        <f t="shared" si="4"/>
        <v>0</v>
      </c>
      <c r="P35" s="612"/>
    </row>
    <row r="36" spans="1:16" ht="69" customHeight="1">
      <c r="A36" s="5"/>
      <c r="B36" s="621" t="s">
        <v>488</v>
      </c>
      <c r="C36" s="578"/>
      <c r="D36" s="293"/>
      <c r="E36" s="293"/>
      <c r="F36" s="293"/>
      <c r="G36" s="293"/>
      <c r="H36" s="293"/>
      <c r="I36" s="293"/>
      <c r="J36" s="293"/>
      <c r="K36" s="293"/>
      <c r="L36" s="293"/>
      <c r="M36" s="293"/>
      <c r="N36" s="293"/>
      <c r="O36" s="479">
        <f t="shared" si="4"/>
        <v>0</v>
      </c>
      <c r="P36" s="612"/>
    </row>
    <row r="37" spans="1:16" ht="82.5" customHeight="1">
      <c r="A37" s="5"/>
      <c r="B37" s="621" t="s">
        <v>489</v>
      </c>
      <c r="C37" s="578"/>
      <c r="D37" s="293"/>
      <c r="E37" s="293"/>
      <c r="F37" s="293"/>
      <c r="G37" s="293"/>
      <c r="H37" s="293"/>
      <c r="I37" s="293"/>
      <c r="J37" s="293"/>
      <c r="K37" s="293"/>
      <c r="L37" s="293"/>
      <c r="M37" s="293"/>
      <c r="N37" s="293"/>
      <c r="O37" s="479">
        <f t="shared" si="4"/>
        <v>0</v>
      </c>
      <c r="P37" s="612"/>
    </row>
    <row r="38" spans="1:16" ht="62.25" customHeight="1">
      <c r="A38" s="5"/>
      <c r="B38" s="621" t="s">
        <v>490</v>
      </c>
      <c r="C38" s="578"/>
      <c r="D38" s="293"/>
      <c r="E38" s="293"/>
      <c r="F38" s="293"/>
      <c r="G38" s="293"/>
      <c r="H38" s="293"/>
      <c r="I38" s="293"/>
      <c r="J38" s="293"/>
      <c r="K38" s="293"/>
      <c r="L38" s="293"/>
      <c r="M38" s="293"/>
      <c r="N38" s="293"/>
      <c r="O38" s="479">
        <f t="shared" si="4"/>
        <v>0</v>
      </c>
      <c r="P38" s="612"/>
    </row>
    <row r="39" spans="1:16" ht="67.5" customHeight="1">
      <c r="A39" s="5"/>
      <c r="B39" s="621" t="s">
        <v>491</v>
      </c>
      <c r="C39" s="578">
        <f>SUM(C40:C43)</f>
        <v>0</v>
      </c>
      <c r="D39" s="293">
        <f t="shared" ref="D39:N39" si="11">SUM(D40:D43)</f>
        <v>0</v>
      </c>
      <c r="E39" s="293">
        <f t="shared" si="11"/>
        <v>0</v>
      </c>
      <c r="F39" s="293">
        <f t="shared" si="11"/>
        <v>0</v>
      </c>
      <c r="G39" s="293">
        <f t="shared" si="11"/>
        <v>0</v>
      </c>
      <c r="H39" s="293">
        <f t="shared" si="11"/>
        <v>0</v>
      </c>
      <c r="I39" s="293">
        <f t="shared" si="11"/>
        <v>0</v>
      </c>
      <c r="J39" s="293">
        <f t="shared" si="11"/>
        <v>0</v>
      </c>
      <c r="K39" s="293">
        <f t="shared" si="11"/>
        <v>0</v>
      </c>
      <c r="L39" s="293">
        <f t="shared" si="11"/>
        <v>0</v>
      </c>
      <c r="M39" s="293">
        <f t="shared" si="11"/>
        <v>0</v>
      </c>
      <c r="N39" s="293">
        <f t="shared" si="11"/>
        <v>0</v>
      </c>
      <c r="O39" s="479">
        <f t="shared" si="4"/>
        <v>0</v>
      </c>
      <c r="P39" s="612"/>
    </row>
    <row r="40" spans="1:16" ht="48.95" customHeight="1">
      <c r="A40" s="5"/>
      <c r="B40" s="622" t="s">
        <v>492</v>
      </c>
      <c r="C40" s="578"/>
      <c r="D40" s="293"/>
      <c r="E40" s="293"/>
      <c r="F40" s="293"/>
      <c r="G40" s="293"/>
      <c r="H40" s="293"/>
      <c r="I40" s="293"/>
      <c r="J40" s="293"/>
      <c r="K40" s="293"/>
      <c r="L40" s="293"/>
      <c r="M40" s="293"/>
      <c r="N40" s="293"/>
      <c r="O40" s="479">
        <f t="shared" si="4"/>
        <v>0</v>
      </c>
      <c r="P40" s="612"/>
    </row>
    <row r="41" spans="1:16" ht="48.95" customHeight="1">
      <c r="A41" s="5"/>
      <c r="B41" s="622" t="s">
        <v>493</v>
      </c>
      <c r="C41" s="578"/>
      <c r="D41" s="293"/>
      <c r="E41" s="293"/>
      <c r="F41" s="293"/>
      <c r="G41" s="293"/>
      <c r="H41" s="293"/>
      <c r="I41" s="293"/>
      <c r="J41" s="293"/>
      <c r="K41" s="293"/>
      <c r="L41" s="293"/>
      <c r="M41" s="293"/>
      <c r="N41" s="293"/>
      <c r="O41" s="479">
        <f t="shared" si="4"/>
        <v>0</v>
      </c>
      <c r="P41" s="612"/>
    </row>
    <row r="42" spans="1:16" ht="48.95" customHeight="1">
      <c r="A42" s="5"/>
      <c r="B42" s="622" t="s">
        <v>494</v>
      </c>
      <c r="C42" s="578"/>
      <c r="D42" s="293"/>
      <c r="E42" s="293"/>
      <c r="F42" s="293"/>
      <c r="G42" s="293"/>
      <c r="H42" s="293"/>
      <c r="I42" s="293"/>
      <c r="J42" s="293"/>
      <c r="K42" s="293"/>
      <c r="L42" s="293"/>
      <c r="M42" s="293"/>
      <c r="N42" s="293"/>
      <c r="O42" s="479">
        <f t="shared" si="4"/>
        <v>0</v>
      </c>
      <c r="P42" s="612"/>
    </row>
    <row r="43" spans="1:16" ht="48.95" customHeight="1">
      <c r="A43" s="5"/>
      <c r="B43" s="622" t="s">
        <v>495</v>
      </c>
      <c r="C43" s="578"/>
      <c r="D43" s="293"/>
      <c r="E43" s="293"/>
      <c r="F43" s="293"/>
      <c r="G43" s="293"/>
      <c r="H43" s="293"/>
      <c r="I43" s="293"/>
      <c r="J43" s="293"/>
      <c r="K43" s="293"/>
      <c r="L43" s="293"/>
      <c r="M43" s="293"/>
      <c r="N43" s="293"/>
      <c r="O43" s="479">
        <f t="shared" si="4"/>
        <v>0</v>
      </c>
      <c r="P43" s="612"/>
    </row>
    <row r="44" spans="1:16" ht="48.95" customHeight="1" thickBot="1">
      <c r="A44" s="5"/>
      <c r="B44" s="621" t="s">
        <v>151</v>
      </c>
      <c r="C44" s="578"/>
      <c r="D44" s="293"/>
      <c r="E44" s="293"/>
      <c r="F44" s="293"/>
      <c r="G44" s="293"/>
      <c r="H44" s="293"/>
      <c r="I44" s="293"/>
      <c r="J44" s="293"/>
      <c r="K44" s="299"/>
      <c r="L44" s="299"/>
      <c r="M44" s="299"/>
      <c r="N44" s="299"/>
      <c r="O44" s="479">
        <f t="shared" si="4"/>
        <v>0</v>
      </c>
      <c r="P44" s="619"/>
    </row>
    <row r="45" spans="1:16" ht="27" customHeight="1" thickBot="1">
      <c r="A45" s="5"/>
      <c r="B45" s="624" t="s">
        <v>155</v>
      </c>
      <c r="C45" s="626">
        <f>SUM(C46:C67)</f>
        <v>75000</v>
      </c>
      <c r="D45" s="627">
        <f t="shared" ref="D45:N45" si="12">SUM(D46:D67)</f>
        <v>75000</v>
      </c>
      <c r="E45" s="627">
        <f t="shared" si="12"/>
        <v>75000</v>
      </c>
      <c r="F45" s="627">
        <f>SUM(F46:F67)</f>
        <v>75000</v>
      </c>
      <c r="G45" s="627">
        <f t="shared" si="12"/>
        <v>75000</v>
      </c>
      <c r="H45" s="627">
        <f>SUM(H46:H67)</f>
        <v>75000</v>
      </c>
      <c r="I45" s="627">
        <f t="shared" si="12"/>
        <v>277547</v>
      </c>
      <c r="J45" s="627">
        <f t="shared" si="12"/>
        <v>277547</v>
      </c>
      <c r="K45" s="627">
        <f t="shared" si="12"/>
        <v>277547</v>
      </c>
      <c r="L45" s="627">
        <f t="shared" si="12"/>
        <v>277547</v>
      </c>
      <c r="M45" s="627">
        <f t="shared" si="12"/>
        <v>277547</v>
      </c>
      <c r="N45" s="627">
        <f t="shared" si="12"/>
        <v>277547</v>
      </c>
      <c r="O45" s="306">
        <f t="shared" si="4"/>
        <v>2115282</v>
      </c>
      <c r="P45" s="1031" t="s">
        <v>498</v>
      </c>
    </row>
    <row r="46" spans="1:16" ht="26.25" customHeight="1">
      <c r="A46" s="5"/>
      <c r="B46" s="616" t="s">
        <v>145</v>
      </c>
      <c r="C46" s="600"/>
      <c r="D46" s="303"/>
      <c r="E46" s="303"/>
      <c r="F46" s="303"/>
      <c r="G46" s="303"/>
      <c r="H46" s="303"/>
      <c r="I46" s="303"/>
      <c r="J46" s="303"/>
      <c r="K46" s="303"/>
      <c r="L46" s="303"/>
      <c r="M46" s="303"/>
      <c r="N46" s="303"/>
      <c r="O46" s="478">
        <f t="shared" si="4"/>
        <v>0</v>
      </c>
      <c r="P46" s="1032"/>
    </row>
    <row r="47" spans="1:16" ht="22.5" customHeight="1">
      <c r="A47" s="5"/>
      <c r="B47" s="617" t="s">
        <v>152</v>
      </c>
      <c r="C47" s="600"/>
      <c r="D47" s="303"/>
      <c r="E47" s="303"/>
      <c r="F47" s="303"/>
      <c r="G47" s="303"/>
      <c r="H47" s="293"/>
      <c r="I47" s="293">
        <v>22047</v>
      </c>
      <c r="J47" s="293">
        <v>22047</v>
      </c>
      <c r="K47" s="293">
        <v>22047</v>
      </c>
      <c r="L47" s="293">
        <v>22047</v>
      </c>
      <c r="M47" s="293">
        <v>22047</v>
      </c>
      <c r="N47" s="293">
        <v>22047</v>
      </c>
      <c r="O47" s="479">
        <f t="shared" si="4"/>
        <v>132282</v>
      </c>
      <c r="P47" s="1032"/>
    </row>
    <row r="48" spans="1:16" ht="35.25" customHeight="1">
      <c r="A48" s="5"/>
      <c r="B48" s="617" t="s">
        <v>153</v>
      </c>
      <c r="C48" s="600"/>
      <c r="D48" s="303"/>
      <c r="E48" s="303"/>
      <c r="F48" s="303"/>
      <c r="G48" s="303"/>
      <c r="H48" s="303"/>
      <c r="I48" s="303"/>
      <c r="J48" s="303"/>
      <c r="K48" s="303"/>
      <c r="L48" s="303"/>
      <c r="M48" s="303"/>
      <c r="N48" s="303"/>
      <c r="O48" s="479">
        <f t="shared" si="4"/>
        <v>0</v>
      </c>
      <c r="P48" s="1032"/>
    </row>
    <row r="49" spans="1:16" ht="36" customHeight="1">
      <c r="A49" s="5"/>
      <c r="B49" s="617" t="s">
        <v>154</v>
      </c>
      <c r="C49" s="600"/>
      <c r="D49" s="303"/>
      <c r="E49" s="303"/>
      <c r="F49" s="303"/>
      <c r="G49" s="303"/>
      <c r="H49" s="303"/>
      <c r="I49" s="303"/>
      <c r="J49" s="303"/>
      <c r="K49" s="303"/>
      <c r="L49" s="303"/>
      <c r="M49" s="303"/>
      <c r="N49" s="303"/>
      <c r="O49" s="479">
        <f t="shared" si="4"/>
        <v>0</v>
      </c>
      <c r="P49" s="1032"/>
    </row>
    <row r="50" spans="1:16" ht="35.25" customHeight="1">
      <c r="A50" s="5"/>
      <c r="B50" s="617" t="s">
        <v>146</v>
      </c>
      <c r="C50" s="600"/>
      <c r="D50" s="303"/>
      <c r="E50" s="303"/>
      <c r="F50" s="303"/>
      <c r="G50" s="303"/>
      <c r="H50" s="303"/>
      <c r="I50" s="303"/>
      <c r="J50" s="303"/>
      <c r="K50" s="303"/>
      <c r="L50" s="303"/>
      <c r="M50" s="303"/>
      <c r="N50" s="303"/>
      <c r="O50" s="479">
        <f t="shared" si="4"/>
        <v>0</v>
      </c>
      <c r="P50" s="1032"/>
    </row>
    <row r="51" spans="1:16" ht="22.5" customHeight="1">
      <c r="A51" s="5"/>
      <c r="B51" s="617" t="s">
        <v>149</v>
      </c>
      <c r="C51" s="600">
        <v>5000</v>
      </c>
      <c r="D51" s="303">
        <v>5000</v>
      </c>
      <c r="E51" s="303">
        <v>5000</v>
      </c>
      <c r="F51" s="303">
        <v>5000</v>
      </c>
      <c r="G51" s="303">
        <v>5000</v>
      </c>
      <c r="H51" s="303">
        <v>5000</v>
      </c>
      <c r="I51" s="303">
        <v>5000</v>
      </c>
      <c r="J51" s="303">
        <v>5000</v>
      </c>
      <c r="K51" s="303">
        <v>5000</v>
      </c>
      <c r="L51" s="303">
        <v>5000</v>
      </c>
      <c r="M51" s="303">
        <v>5000</v>
      </c>
      <c r="N51" s="303">
        <v>5000</v>
      </c>
      <c r="O51" s="479">
        <f t="shared" si="4"/>
        <v>60000</v>
      </c>
      <c r="P51" s="1032"/>
    </row>
    <row r="52" spans="1:16" ht="22.5" customHeight="1">
      <c r="A52" s="5"/>
      <c r="B52" s="617" t="s">
        <v>147</v>
      </c>
      <c r="C52" s="600"/>
      <c r="D52" s="303"/>
      <c r="E52" s="303"/>
      <c r="F52" s="303"/>
      <c r="G52" s="303"/>
      <c r="H52" s="303"/>
      <c r="I52" s="303"/>
      <c r="J52" s="303"/>
      <c r="K52" s="303"/>
      <c r="L52" s="303"/>
      <c r="M52" s="303"/>
      <c r="N52" s="303"/>
      <c r="O52" s="479">
        <f t="shared" si="4"/>
        <v>0</v>
      </c>
      <c r="P52" s="1032"/>
    </row>
    <row r="53" spans="1:16" ht="37.5" customHeight="1">
      <c r="A53" s="5"/>
      <c r="B53" s="617" t="s">
        <v>408</v>
      </c>
      <c r="C53" s="600"/>
      <c r="D53" s="303"/>
      <c r="E53" s="303"/>
      <c r="F53" s="303"/>
      <c r="G53" s="303"/>
      <c r="H53" s="303"/>
      <c r="I53" s="303"/>
      <c r="J53" s="303"/>
      <c r="K53" s="303"/>
      <c r="L53" s="303"/>
      <c r="M53" s="303"/>
      <c r="N53" s="303"/>
      <c r="O53" s="479">
        <f t="shared" si="4"/>
        <v>0</v>
      </c>
      <c r="P53" s="1032"/>
    </row>
    <row r="54" spans="1:16" ht="50.25" customHeight="1">
      <c r="A54" s="5"/>
      <c r="B54" s="617" t="s">
        <v>150</v>
      </c>
      <c r="C54" s="600">
        <v>10000</v>
      </c>
      <c r="D54" s="303">
        <v>10000</v>
      </c>
      <c r="E54" s="303">
        <v>10000</v>
      </c>
      <c r="F54" s="303">
        <v>10000</v>
      </c>
      <c r="G54" s="303">
        <v>10000</v>
      </c>
      <c r="H54" s="303">
        <v>10000</v>
      </c>
      <c r="I54" s="303">
        <v>10000</v>
      </c>
      <c r="J54" s="303">
        <v>10000</v>
      </c>
      <c r="K54" s="303">
        <v>10000</v>
      </c>
      <c r="L54" s="303">
        <v>10000</v>
      </c>
      <c r="M54" s="303">
        <v>10000</v>
      </c>
      <c r="N54" s="303">
        <v>10000</v>
      </c>
      <c r="O54" s="479">
        <f t="shared" si="4"/>
        <v>120000</v>
      </c>
      <c r="P54" s="1032"/>
    </row>
    <row r="55" spans="1:16" ht="37.5" customHeight="1">
      <c r="A55" s="5"/>
      <c r="B55" s="617" t="s">
        <v>409</v>
      </c>
      <c r="C55" s="600">
        <v>5000</v>
      </c>
      <c r="D55" s="303">
        <v>5000</v>
      </c>
      <c r="E55" s="303">
        <v>5000</v>
      </c>
      <c r="F55" s="303">
        <v>5000</v>
      </c>
      <c r="G55" s="303">
        <v>5000</v>
      </c>
      <c r="H55" s="303">
        <v>5000</v>
      </c>
      <c r="I55" s="303">
        <v>5000</v>
      </c>
      <c r="J55" s="303">
        <v>5000</v>
      </c>
      <c r="K55" s="303">
        <v>5000</v>
      </c>
      <c r="L55" s="303">
        <v>5000</v>
      </c>
      <c r="M55" s="303">
        <v>5000</v>
      </c>
      <c r="N55" s="303">
        <v>5000</v>
      </c>
      <c r="O55" s="479">
        <f t="shared" si="4"/>
        <v>60000</v>
      </c>
      <c r="P55" s="1032"/>
    </row>
    <row r="56" spans="1:16" ht="38.25" customHeight="1">
      <c r="A56" s="5"/>
      <c r="B56" s="617" t="s">
        <v>410</v>
      </c>
      <c r="C56" s="600"/>
      <c r="D56" s="303"/>
      <c r="E56" s="303"/>
      <c r="F56" s="303"/>
      <c r="G56" s="303"/>
      <c r="H56" s="303"/>
      <c r="I56" s="303"/>
      <c r="J56" s="303"/>
      <c r="K56" s="303"/>
      <c r="L56" s="303"/>
      <c r="M56" s="303"/>
      <c r="N56" s="303"/>
      <c r="O56" s="479">
        <f t="shared" si="4"/>
        <v>0</v>
      </c>
      <c r="P56" s="1032"/>
    </row>
    <row r="57" spans="1:16" ht="38.25" customHeight="1">
      <c r="A57" s="5"/>
      <c r="B57" s="713" t="s">
        <v>740</v>
      </c>
      <c r="C57" s="712">
        <v>5000</v>
      </c>
      <c r="D57" s="712">
        <v>5000</v>
      </c>
      <c r="E57" s="712">
        <v>5000</v>
      </c>
      <c r="F57" s="712">
        <v>5000</v>
      </c>
      <c r="G57" s="712">
        <v>5000</v>
      </c>
      <c r="H57" s="712">
        <v>5000</v>
      </c>
      <c r="I57" s="712">
        <v>5000</v>
      </c>
      <c r="J57" s="712">
        <v>5000</v>
      </c>
      <c r="K57" s="712">
        <v>5000</v>
      </c>
      <c r="L57" s="712">
        <v>5000</v>
      </c>
      <c r="M57" s="712">
        <v>5000</v>
      </c>
      <c r="N57" s="712">
        <v>5000</v>
      </c>
      <c r="O57" s="479">
        <f t="shared" si="4"/>
        <v>60000</v>
      </c>
      <c r="P57" s="1032"/>
    </row>
    <row r="58" spans="1:16" ht="39" customHeight="1">
      <c r="A58" s="5"/>
      <c r="B58" s="713" t="s">
        <v>739</v>
      </c>
      <c r="C58" s="712">
        <v>50000</v>
      </c>
      <c r="D58" s="712">
        <v>50000</v>
      </c>
      <c r="E58" s="712">
        <v>50000</v>
      </c>
      <c r="F58" s="712">
        <v>50000</v>
      </c>
      <c r="G58" s="712">
        <v>50000</v>
      </c>
      <c r="H58" s="712">
        <v>50000</v>
      </c>
      <c r="I58" s="712">
        <v>50000</v>
      </c>
      <c r="J58" s="712">
        <v>50000</v>
      </c>
      <c r="K58" s="712">
        <v>50000</v>
      </c>
      <c r="L58" s="712">
        <v>50000</v>
      </c>
      <c r="M58" s="712">
        <v>50000</v>
      </c>
      <c r="N58" s="712">
        <v>50000</v>
      </c>
      <c r="O58" s="479">
        <f t="shared" si="4"/>
        <v>600000</v>
      </c>
      <c r="P58" s="1032"/>
    </row>
    <row r="59" spans="1:16" ht="22.5" customHeight="1">
      <c r="A59" s="5"/>
      <c r="B59" s="617" t="s">
        <v>142</v>
      </c>
      <c r="C59" s="600"/>
      <c r="D59" s="303"/>
      <c r="E59" s="303"/>
      <c r="F59" s="303"/>
      <c r="G59" s="303"/>
      <c r="H59" s="303"/>
      <c r="I59" s="303">
        <v>180500</v>
      </c>
      <c r="J59" s="303">
        <v>180500</v>
      </c>
      <c r="K59" s="303">
        <v>180500</v>
      </c>
      <c r="L59" s="303">
        <v>180500</v>
      </c>
      <c r="M59" s="303">
        <v>180500</v>
      </c>
      <c r="N59" s="303">
        <v>180500</v>
      </c>
      <c r="O59" s="479">
        <f t="shared" si="4"/>
        <v>1083000</v>
      </c>
      <c r="P59" s="1032"/>
    </row>
    <row r="60" spans="1:16" ht="46.5" customHeight="1">
      <c r="A60" s="5"/>
      <c r="B60" s="617" t="s">
        <v>143</v>
      </c>
      <c r="C60" s="600"/>
      <c r="D60" s="303"/>
      <c r="E60" s="303"/>
      <c r="F60" s="303"/>
      <c r="G60" s="303"/>
      <c r="H60" s="303"/>
      <c r="I60" s="303"/>
      <c r="J60" s="303"/>
      <c r="K60" s="303"/>
      <c r="L60" s="303"/>
      <c r="M60" s="303"/>
      <c r="N60" s="303"/>
      <c r="O60" s="479">
        <f t="shared" si="4"/>
        <v>0</v>
      </c>
      <c r="P60" s="1032"/>
    </row>
    <row r="61" spans="1:16" ht="22.5" customHeight="1">
      <c r="A61" s="5"/>
      <c r="B61" s="617" t="s">
        <v>144</v>
      </c>
      <c r="C61" s="600"/>
      <c r="D61" s="303"/>
      <c r="E61" s="303"/>
      <c r="F61" s="303"/>
      <c r="G61" s="303"/>
      <c r="H61" s="303"/>
      <c r="I61" s="303"/>
      <c r="J61" s="303"/>
      <c r="K61" s="303"/>
      <c r="L61" s="303"/>
      <c r="M61" s="303"/>
      <c r="N61" s="303"/>
      <c r="O61" s="479">
        <f t="shared" si="4"/>
        <v>0</v>
      </c>
      <c r="P61" s="1032"/>
    </row>
    <row r="62" spans="1:16" ht="32.25" customHeight="1">
      <c r="A62" s="5"/>
      <c r="B62" s="618" t="s">
        <v>427</v>
      </c>
      <c r="C62" s="600"/>
      <c r="D62" s="303"/>
      <c r="E62" s="303"/>
      <c r="F62" s="303"/>
      <c r="G62" s="303"/>
      <c r="H62" s="303"/>
      <c r="I62" s="303"/>
      <c r="J62" s="303"/>
      <c r="K62" s="303"/>
      <c r="L62" s="303"/>
      <c r="M62" s="303"/>
      <c r="N62" s="303"/>
      <c r="O62" s="479">
        <f t="shared" si="4"/>
        <v>0</v>
      </c>
      <c r="P62" s="612"/>
    </row>
    <row r="63" spans="1:16" ht="22.5" customHeight="1">
      <c r="A63" s="5"/>
      <c r="B63" s="590"/>
      <c r="C63" s="600"/>
      <c r="D63" s="303"/>
      <c r="E63" s="303"/>
      <c r="F63" s="303"/>
      <c r="G63" s="303"/>
      <c r="H63" s="303"/>
      <c r="I63" s="303"/>
      <c r="J63" s="303"/>
      <c r="K63" s="303"/>
      <c r="L63" s="303"/>
      <c r="M63" s="303"/>
      <c r="N63" s="303"/>
      <c r="O63" s="479">
        <f t="shared" si="4"/>
        <v>0</v>
      </c>
      <c r="P63" s="612"/>
    </row>
    <row r="64" spans="1:16" ht="27" customHeight="1">
      <c r="A64" s="5"/>
      <c r="B64" s="590"/>
      <c r="C64" s="600"/>
      <c r="D64" s="303"/>
      <c r="E64" s="303"/>
      <c r="F64" s="303"/>
      <c r="G64" s="303"/>
      <c r="H64" s="303"/>
      <c r="I64" s="303"/>
      <c r="J64" s="303"/>
      <c r="K64" s="303"/>
      <c r="L64" s="303"/>
      <c r="M64" s="303"/>
      <c r="N64" s="303"/>
      <c r="O64" s="479">
        <f t="shared" si="4"/>
        <v>0</v>
      </c>
      <c r="P64" s="612"/>
    </row>
    <row r="65" spans="1:16" ht="23.25" customHeight="1">
      <c r="A65" s="5"/>
      <c r="B65" s="590"/>
      <c r="C65" s="600"/>
      <c r="D65" s="303"/>
      <c r="E65" s="303"/>
      <c r="F65" s="303"/>
      <c r="G65" s="303"/>
      <c r="H65" s="303"/>
      <c r="I65" s="303"/>
      <c r="J65" s="303"/>
      <c r="K65" s="303"/>
      <c r="L65" s="303"/>
      <c r="M65" s="303"/>
      <c r="N65" s="303"/>
      <c r="O65" s="479">
        <f t="shared" si="4"/>
        <v>0</v>
      </c>
      <c r="P65" s="612"/>
    </row>
    <row r="66" spans="1:16" ht="27" customHeight="1">
      <c r="A66" s="5"/>
      <c r="B66" s="590"/>
      <c r="C66" s="578"/>
      <c r="D66" s="293"/>
      <c r="E66" s="293"/>
      <c r="F66" s="293"/>
      <c r="G66" s="293"/>
      <c r="H66" s="293"/>
      <c r="I66" s="293"/>
      <c r="J66" s="293"/>
      <c r="K66" s="293"/>
      <c r="L66" s="293"/>
      <c r="M66" s="293"/>
      <c r="N66" s="293"/>
      <c r="O66" s="479">
        <f t="shared" si="4"/>
        <v>0</v>
      </c>
      <c r="P66" s="612"/>
    </row>
    <row r="67" spans="1:16" ht="39" customHeight="1" thickBot="1">
      <c r="A67" s="5"/>
      <c r="B67" s="591" t="s">
        <v>151</v>
      </c>
      <c r="C67" s="599"/>
      <c r="D67" s="297"/>
      <c r="E67" s="297"/>
      <c r="F67" s="297"/>
      <c r="G67" s="297"/>
      <c r="H67" s="297"/>
      <c r="I67" s="297"/>
      <c r="J67" s="297"/>
      <c r="K67" s="297"/>
      <c r="L67" s="297"/>
      <c r="M67" s="297"/>
      <c r="N67" s="297"/>
      <c r="O67" s="298">
        <f t="shared" si="4"/>
        <v>0</v>
      </c>
      <c r="P67" s="1110" t="s">
        <v>311</v>
      </c>
    </row>
    <row r="68" spans="1:16" ht="48.75" customHeight="1" thickBot="1">
      <c r="A68" s="5"/>
      <c r="B68" s="587" t="s">
        <v>156</v>
      </c>
      <c r="C68" s="598">
        <f>SUM(C15,C45)</f>
        <v>275805</v>
      </c>
      <c r="D68" s="305">
        <f t="shared" ref="D68:N68" si="13">SUM(D15,D45)</f>
        <v>275805</v>
      </c>
      <c r="E68" s="305">
        <f t="shared" si="13"/>
        <v>275805</v>
      </c>
      <c r="F68" s="305">
        <f>SUM(F15,F45)</f>
        <v>275805</v>
      </c>
      <c r="G68" s="305">
        <f>SUM(G15,G45)</f>
        <v>275805</v>
      </c>
      <c r="H68" s="305">
        <f t="shared" si="13"/>
        <v>275805</v>
      </c>
      <c r="I68" s="305">
        <f t="shared" si="13"/>
        <v>277547</v>
      </c>
      <c r="J68" s="305">
        <f t="shared" si="13"/>
        <v>277547</v>
      </c>
      <c r="K68" s="305">
        <f t="shared" si="13"/>
        <v>277547</v>
      </c>
      <c r="L68" s="305">
        <f t="shared" si="13"/>
        <v>277547</v>
      </c>
      <c r="M68" s="305">
        <f t="shared" si="13"/>
        <v>277547</v>
      </c>
      <c r="N68" s="305">
        <f t="shared" si="13"/>
        <v>277547</v>
      </c>
      <c r="O68" s="306">
        <f t="shared" si="4"/>
        <v>3320112</v>
      </c>
      <c r="P68" s="1110"/>
    </row>
    <row r="69" spans="1:16" ht="57.75" customHeight="1">
      <c r="A69" s="5"/>
      <c r="B69" s="592" t="s">
        <v>157</v>
      </c>
      <c r="C69" s="601">
        <f>C67+C44-C11</f>
        <v>0</v>
      </c>
      <c r="D69" s="310">
        <f t="shared" ref="D69:N69" si="14">D67+D44-D11</f>
        <v>0</v>
      </c>
      <c r="E69" s="310">
        <f t="shared" si="14"/>
        <v>0</v>
      </c>
      <c r="F69" s="310">
        <f t="shared" si="14"/>
        <v>0</v>
      </c>
      <c r="G69" s="310">
        <f t="shared" si="14"/>
        <v>0</v>
      </c>
      <c r="H69" s="310">
        <f t="shared" si="14"/>
        <v>0</v>
      </c>
      <c r="I69" s="310">
        <f t="shared" si="14"/>
        <v>0</v>
      </c>
      <c r="J69" s="310">
        <f t="shared" si="14"/>
        <v>0</v>
      </c>
      <c r="K69" s="310">
        <f t="shared" si="14"/>
        <v>0</v>
      </c>
      <c r="L69" s="310">
        <f t="shared" si="14"/>
        <v>0</v>
      </c>
      <c r="M69" s="310">
        <f t="shared" si="14"/>
        <v>0</v>
      </c>
      <c r="N69" s="310">
        <f t="shared" si="14"/>
        <v>0</v>
      </c>
      <c r="O69" s="304">
        <f t="shared" si="4"/>
        <v>0</v>
      </c>
      <c r="P69" s="1114" t="s">
        <v>315</v>
      </c>
    </row>
    <row r="70" spans="1:16" ht="40.5" customHeight="1" thickBot="1">
      <c r="A70" s="5"/>
      <c r="B70" s="593" t="s">
        <v>158</v>
      </c>
      <c r="C70" s="578">
        <f>SUM(C6:C10)-SUM(C17,C20,C23,C24,C27,C28,C29,C32,C35,C36,C37,C38,C39)-SUM(C46:C66)</f>
        <v>-25805</v>
      </c>
      <c r="D70" s="293">
        <f t="shared" ref="D70:N70" si="15">SUM(D6:D10)-SUM(D17,D20,D23,D24,D27,D28,D29,D32,D35,D36,D37,D38,D39)-SUM(D46:D66)</f>
        <v>-25805</v>
      </c>
      <c r="E70" s="293">
        <f t="shared" si="15"/>
        <v>724195</v>
      </c>
      <c r="F70" s="293">
        <f t="shared" si="15"/>
        <v>-25805</v>
      </c>
      <c r="G70" s="293">
        <f t="shared" si="15"/>
        <v>-25805</v>
      </c>
      <c r="H70" s="293">
        <f t="shared" si="15"/>
        <v>-25805</v>
      </c>
      <c r="I70" s="293">
        <f t="shared" si="15"/>
        <v>722453</v>
      </c>
      <c r="J70" s="293">
        <f t="shared" si="15"/>
        <v>-27547</v>
      </c>
      <c r="K70" s="293">
        <f t="shared" si="15"/>
        <v>-27547</v>
      </c>
      <c r="L70" s="293">
        <f t="shared" si="15"/>
        <v>-27547</v>
      </c>
      <c r="M70" s="293">
        <f t="shared" si="15"/>
        <v>-27547</v>
      </c>
      <c r="N70" s="293">
        <f t="shared" si="15"/>
        <v>-27547</v>
      </c>
      <c r="O70" s="296">
        <f t="shared" si="4"/>
        <v>1179888</v>
      </c>
      <c r="P70" s="1115"/>
    </row>
    <row r="71" spans="1:16" ht="45" customHeight="1" thickBot="1">
      <c r="A71" s="5"/>
      <c r="B71" s="584" t="s">
        <v>159</v>
      </c>
      <c r="C71" s="599">
        <f>C5+C12-C68+C69</f>
        <v>449929</v>
      </c>
      <c r="D71" s="297">
        <f t="shared" ref="D71:N71" si="16">D5+D12-D68+D69</f>
        <v>424124</v>
      </c>
      <c r="E71" s="297">
        <f t="shared" si="16"/>
        <v>1148319</v>
      </c>
      <c r="F71" s="297">
        <f t="shared" si="16"/>
        <v>1122514</v>
      </c>
      <c r="G71" s="297">
        <f t="shared" si="16"/>
        <v>1096709</v>
      </c>
      <c r="H71" s="297">
        <f t="shared" si="16"/>
        <v>1070904</v>
      </c>
      <c r="I71" s="297">
        <f t="shared" si="16"/>
        <v>1793357</v>
      </c>
      <c r="J71" s="297">
        <f t="shared" si="16"/>
        <v>1765810</v>
      </c>
      <c r="K71" s="297">
        <f t="shared" si="16"/>
        <v>1738263</v>
      </c>
      <c r="L71" s="297">
        <f t="shared" si="16"/>
        <v>1710716</v>
      </c>
      <c r="M71" s="297">
        <f t="shared" si="16"/>
        <v>1683169</v>
      </c>
      <c r="N71" s="297">
        <f t="shared" si="16"/>
        <v>1655622</v>
      </c>
      <c r="O71" s="309">
        <f>N71</f>
        <v>1655622</v>
      </c>
      <c r="P71" s="613" t="s">
        <v>314</v>
      </c>
    </row>
    <row r="72" spans="1:16" ht="15">
      <c r="B72" s="442"/>
      <c r="C72" s="443"/>
      <c r="D72" s="443"/>
      <c r="E72" s="443"/>
      <c r="F72" s="443"/>
      <c r="G72" s="444"/>
      <c r="H72" s="444"/>
      <c r="I72" s="444"/>
      <c r="J72" s="444"/>
      <c r="K72" s="444"/>
      <c r="L72" s="444"/>
      <c r="M72" s="444"/>
      <c r="N72" s="444"/>
      <c r="O72" s="445"/>
    </row>
    <row r="73" spans="1:16" ht="168" customHeight="1">
      <c r="B73" s="1119" t="s">
        <v>503</v>
      </c>
      <c r="C73" s="1119"/>
      <c r="D73" s="1119"/>
      <c r="E73" s="1119"/>
      <c r="F73" s="1119"/>
      <c r="G73" s="486"/>
      <c r="H73" s="486"/>
      <c r="I73" s="486"/>
      <c r="J73" s="486"/>
      <c r="K73" s="486"/>
      <c r="L73" s="486"/>
      <c r="M73" s="486"/>
      <c r="N73" s="486"/>
      <c r="O73" s="486"/>
    </row>
    <row r="74" spans="1:16" ht="39" customHeight="1">
      <c r="B74" s="446"/>
      <c r="C74" s="446"/>
      <c r="D74" s="446"/>
      <c r="E74" s="446"/>
      <c r="F74" s="446"/>
      <c r="G74" s="449"/>
      <c r="H74" s="450"/>
      <c r="I74" s="450"/>
      <c r="J74" s="450"/>
      <c r="K74" s="450"/>
      <c r="L74" s="451"/>
      <c r="M74" s="450"/>
      <c r="N74" s="450"/>
      <c r="O74" s="451"/>
    </row>
    <row r="75" spans="1:16" ht="20.25">
      <c r="B75" s="1117" t="s">
        <v>459</v>
      </c>
      <c r="C75" s="1117"/>
      <c r="D75" s="1117"/>
      <c r="E75" s="1117"/>
      <c r="F75" s="1117"/>
      <c r="G75" s="449"/>
      <c r="H75" s="449"/>
      <c r="I75" s="449"/>
      <c r="J75" s="449"/>
      <c r="K75" s="449"/>
      <c r="L75" s="449"/>
      <c r="M75" s="449"/>
      <c r="N75" s="449"/>
      <c r="O75" s="449"/>
    </row>
    <row r="76" spans="1:16" ht="25.5" customHeight="1">
      <c r="B76" s="1117" t="s">
        <v>460</v>
      </c>
      <c r="C76" s="1117"/>
      <c r="D76" s="1117"/>
      <c r="E76" s="1117"/>
      <c r="F76" s="1117"/>
      <c r="G76" s="449"/>
      <c r="H76" s="449"/>
      <c r="I76" s="449"/>
      <c r="J76" s="449"/>
      <c r="K76" s="449"/>
      <c r="L76" s="449"/>
      <c r="M76" s="449"/>
      <c r="N76" s="449"/>
      <c r="O76" s="449"/>
    </row>
    <row r="77" spans="1:16" ht="13.5" customHeight="1">
      <c r="B77" s="447"/>
      <c r="C77" s="446"/>
      <c r="D77" s="446"/>
      <c r="E77" s="446"/>
      <c r="F77" s="446"/>
      <c r="G77" s="447"/>
      <c r="H77" s="447"/>
      <c r="I77" s="447"/>
      <c r="J77" s="447"/>
      <c r="K77" s="447"/>
      <c r="L77" s="447"/>
      <c r="M77" s="447"/>
      <c r="N77" s="447"/>
      <c r="O77" s="448"/>
    </row>
    <row r="78" spans="1:16" ht="33" customHeight="1">
      <c r="B78" s="1118" t="s">
        <v>422</v>
      </c>
      <c r="C78" s="1118"/>
      <c r="D78" s="1118"/>
      <c r="E78" s="1118"/>
      <c r="F78" s="1118"/>
      <c r="G78" s="449"/>
      <c r="H78" s="449"/>
      <c r="I78" s="449"/>
      <c r="J78" s="449"/>
      <c r="K78" s="449"/>
      <c r="L78" s="449"/>
      <c r="M78" s="449"/>
      <c r="N78" s="449"/>
      <c r="O78" s="449"/>
    </row>
    <row r="79" spans="1:16" ht="33.75" customHeight="1">
      <c r="B79" s="449"/>
      <c r="C79" s="446"/>
      <c r="D79" s="446"/>
      <c r="E79" s="446"/>
      <c r="F79" s="446"/>
      <c r="G79" s="449"/>
      <c r="H79" s="450"/>
      <c r="I79" s="450"/>
      <c r="J79" s="450"/>
      <c r="K79" s="450"/>
      <c r="L79" s="451"/>
      <c r="M79" s="450"/>
      <c r="N79" s="450"/>
      <c r="O79" s="451"/>
    </row>
    <row r="80" spans="1:16" ht="20.25">
      <c r="B80" s="449"/>
      <c r="C80" s="446"/>
      <c r="D80" s="446"/>
      <c r="E80" s="446"/>
      <c r="F80" s="446"/>
      <c r="G80" s="449"/>
      <c r="H80" s="450"/>
      <c r="I80" s="450"/>
      <c r="J80" s="450"/>
      <c r="K80" s="450"/>
      <c r="L80" s="451"/>
      <c r="M80" s="450"/>
      <c r="N80" s="450"/>
      <c r="O80" s="451"/>
    </row>
    <row r="81" spans="2:15" ht="20.25">
      <c r="B81" s="1117" t="s">
        <v>459</v>
      </c>
      <c r="C81" s="1117"/>
      <c r="D81" s="1117"/>
      <c r="E81" s="1117"/>
      <c r="F81" s="1117"/>
      <c r="G81" s="449"/>
      <c r="H81" s="449"/>
      <c r="I81" s="449"/>
      <c r="J81" s="449"/>
      <c r="K81" s="449"/>
      <c r="L81" s="449"/>
      <c r="M81" s="449"/>
      <c r="N81" s="449"/>
      <c r="O81" s="449"/>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7" zoomScale="60" zoomScaleNormal="60" workbookViewId="0">
      <selection activeCell="C78" sqref="C78:D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3" t="s">
        <v>502</v>
      </c>
      <c r="C1" s="1124"/>
      <c r="D1" s="1125"/>
      <c r="E1" s="179" t="s">
        <v>207</v>
      </c>
      <c r="F1" s="13"/>
      <c r="G1" s="13"/>
      <c r="H1" s="13"/>
    </row>
    <row r="2" spans="2:8" ht="23.25" customHeight="1" thickBot="1">
      <c r="B2" s="430" t="s">
        <v>160</v>
      </c>
      <c r="C2" s="319" t="s">
        <v>237</v>
      </c>
      <c r="D2" s="454" t="s">
        <v>500</v>
      </c>
      <c r="E2" s="129" t="s">
        <v>289</v>
      </c>
    </row>
    <row r="3" spans="2:8" ht="23.25" customHeight="1" thickBot="1">
      <c r="B3" s="431" t="s">
        <v>161</v>
      </c>
      <c r="C3" s="432">
        <v>2020</v>
      </c>
      <c r="D3" s="455">
        <v>2021</v>
      </c>
      <c r="E3" s="489"/>
    </row>
    <row r="4" spans="2:8" ht="23.25" customHeight="1" thickBot="1">
      <c r="B4" s="1126" t="s">
        <v>132</v>
      </c>
      <c r="C4" s="1127"/>
      <c r="D4" s="1128"/>
      <c r="E4" s="1031" t="s">
        <v>523</v>
      </c>
    </row>
    <row r="5" spans="2:8" ht="23.25" customHeight="1" thickBot="1">
      <c r="B5" s="433" t="s">
        <v>133</v>
      </c>
      <c r="C5" s="434">
        <f>'10.b-Cash-flow 2. év'!N71</f>
        <v>1655622</v>
      </c>
      <c r="D5" s="456">
        <f>C72</f>
        <v>2300058</v>
      </c>
      <c r="E5" s="1032"/>
    </row>
    <row r="6" spans="2:8" ht="23.25" customHeight="1">
      <c r="B6" s="483" t="s">
        <v>134</v>
      </c>
      <c r="C6" s="484">
        <v>4000000</v>
      </c>
      <c r="D6" s="485">
        <v>5000000</v>
      </c>
      <c r="E6" s="1032"/>
    </row>
    <row r="7" spans="2:8" ht="23.25" customHeight="1">
      <c r="B7" s="548" t="s">
        <v>135</v>
      </c>
      <c r="C7" s="549"/>
      <c r="D7" s="491"/>
      <c r="E7" s="1032"/>
    </row>
    <row r="8" spans="2:8" ht="23.25" customHeight="1">
      <c r="B8" s="548" t="s">
        <v>136</v>
      </c>
      <c r="C8" s="549"/>
      <c r="D8" s="491"/>
      <c r="E8" s="1032"/>
    </row>
    <row r="9" spans="2:8" ht="23.25" customHeight="1">
      <c r="B9" s="548" t="s">
        <v>137</v>
      </c>
      <c r="C9" s="549"/>
      <c r="D9" s="491"/>
      <c r="E9" s="1032"/>
    </row>
    <row r="10" spans="2:8" ht="23.25" customHeight="1">
      <c r="B10" s="548" t="s">
        <v>138</v>
      </c>
      <c r="C10" s="549"/>
      <c r="D10" s="491"/>
      <c r="E10" s="1032"/>
    </row>
    <row r="11" spans="2:8" ht="23.25" customHeight="1">
      <c r="B11" s="548" t="s">
        <v>139</v>
      </c>
      <c r="C11" s="549"/>
      <c r="D11" s="491"/>
      <c r="E11" s="1032"/>
    </row>
    <row r="12" spans="2:8" ht="23.25" customHeight="1" thickBot="1">
      <c r="B12" s="435" t="s">
        <v>140</v>
      </c>
      <c r="C12" s="436">
        <f t="shared" ref="C12:D12" si="0">SUM(C6:C11)</f>
        <v>4000000</v>
      </c>
      <c r="D12" s="457">
        <f t="shared" si="0"/>
        <v>5000000</v>
      </c>
      <c r="E12" s="1032"/>
    </row>
    <row r="13" spans="2:8" ht="8.25" customHeight="1" thickBot="1">
      <c r="B13" s="437"/>
      <c r="C13" s="438"/>
      <c r="D13" s="458"/>
      <c r="E13" s="300"/>
    </row>
    <row r="14" spans="2:8" ht="19.5" customHeight="1" thickBot="1">
      <c r="B14" s="1129" t="s">
        <v>141</v>
      </c>
      <c r="C14" s="1130"/>
      <c r="D14" s="1131"/>
      <c r="E14" s="300"/>
    </row>
    <row r="15" spans="2:8" ht="29.25" customHeight="1" thickBot="1">
      <c r="B15" s="550" t="s">
        <v>469</v>
      </c>
      <c r="C15" s="564">
        <f>SUM(C17,C20,C23,C24,C27,C28,C29,C32,,C35,C36,C37,C38,C39,C44)</f>
        <v>0</v>
      </c>
      <c r="D15" s="565">
        <f>SUM(D17,D20,D23,D24,D27,D28,D29,D32,,D35,D36,D37,D38,D39,D44)</f>
        <v>0</v>
      </c>
      <c r="E15" s="300" t="s">
        <v>524</v>
      </c>
    </row>
    <row r="16" spans="2:8" ht="39.75" customHeight="1" thickBot="1">
      <c r="B16" s="551" t="s">
        <v>496</v>
      </c>
      <c r="C16" s="566">
        <f>C15*0.9</f>
        <v>0</v>
      </c>
      <c r="D16" s="567">
        <f>D15*0.9</f>
        <v>0</v>
      </c>
      <c r="E16" s="300"/>
    </row>
    <row r="17" spans="2:5" ht="48.75" customHeight="1">
      <c r="B17" s="552" t="s">
        <v>470</v>
      </c>
      <c r="C17" s="568">
        <f>SUM(C18:C19)</f>
        <v>0</v>
      </c>
      <c r="D17" s="569">
        <f>SUM(D18:D19)</f>
        <v>0</v>
      </c>
      <c r="E17" s="300"/>
    </row>
    <row r="18" spans="2:5" ht="34.5" customHeight="1">
      <c r="B18" s="553" t="s">
        <v>471</v>
      </c>
      <c r="C18" s="570"/>
      <c r="D18" s="459"/>
      <c r="E18" s="300"/>
    </row>
    <row r="19" spans="2:5" ht="33" customHeight="1">
      <c r="B19" s="553" t="s">
        <v>148</v>
      </c>
      <c r="C19" s="570"/>
      <c r="D19" s="459"/>
      <c r="E19" s="300"/>
    </row>
    <row r="20" spans="2:5" ht="48.75" customHeight="1">
      <c r="B20" s="554" t="s">
        <v>472</v>
      </c>
      <c r="C20" s="570">
        <f>SUM(C21:C22)</f>
        <v>0</v>
      </c>
      <c r="D20" s="571">
        <f>SUM(D21:D22)</f>
        <v>0</v>
      </c>
      <c r="E20" s="300"/>
    </row>
    <row r="21" spans="2:5" ht="25.5" customHeight="1">
      <c r="B21" s="553" t="s">
        <v>473</v>
      </c>
      <c r="C21" s="570"/>
      <c r="D21" s="459"/>
      <c r="E21" s="300"/>
    </row>
    <row r="22" spans="2:5" ht="25.5" customHeight="1">
      <c r="B22" s="553" t="s">
        <v>474</v>
      </c>
      <c r="C22" s="570"/>
      <c r="D22" s="459"/>
      <c r="E22" s="300"/>
    </row>
    <row r="23" spans="2:5" ht="66" customHeight="1">
      <c r="B23" s="555" t="s">
        <v>475</v>
      </c>
      <c r="C23" s="570"/>
      <c r="D23" s="459"/>
      <c r="E23" s="300"/>
    </row>
    <row r="24" spans="2:5" ht="39.75" customHeight="1">
      <c r="B24" s="554" t="s">
        <v>476</v>
      </c>
      <c r="C24" s="570">
        <f>SUM(C25:C26)</f>
        <v>0</v>
      </c>
      <c r="D24" s="571">
        <f>SUM(D25:D26)</f>
        <v>0</v>
      </c>
      <c r="E24" s="300"/>
    </row>
    <row r="25" spans="2:5" ht="33" customHeight="1">
      <c r="B25" s="553" t="s">
        <v>477</v>
      </c>
      <c r="C25" s="570"/>
      <c r="D25" s="459"/>
      <c r="E25" s="300"/>
    </row>
    <row r="26" spans="2:5" ht="33.75" customHeight="1">
      <c r="B26" s="553" t="s">
        <v>478</v>
      </c>
      <c r="C26" s="570"/>
      <c r="D26" s="459"/>
      <c r="E26" s="300"/>
    </row>
    <row r="27" spans="2:5" ht="63.75" customHeight="1">
      <c r="B27" s="555" t="s">
        <v>479</v>
      </c>
      <c r="C27" s="570"/>
      <c r="D27" s="459"/>
      <c r="E27" s="300"/>
    </row>
    <row r="28" spans="2:5" ht="46.5" customHeight="1">
      <c r="B28" s="555" t="s">
        <v>480</v>
      </c>
      <c r="C28" s="570"/>
      <c r="D28" s="459"/>
      <c r="E28" s="300"/>
    </row>
    <row r="29" spans="2:5" ht="36.6" customHeight="1">
      <c r="B29" s="556" t="s">
        <v>481</v>
      </c>
      <c r="C29" s="570">
        <f>SUM(C30:C31)</f>
        <v>0</v>
      </c>
      <c r="D29" s="571">
        <f>SUM(D30:D31)</f>
        <v>0</v>
      </c>
      <c r="E29" s="300"/>
    </row>
    <row r="30" spans="2:5" ht="52.5" customHeight="1">
      <c r="B30" s="553" t="s">
        <v>482</v>
      </c>
      <c r="C30" s="570"/>
      <c r="D30" s="459"/>
      <c r="E30" s="300"/>
    </row>
    <row r="31" spans="2:5" ht="37.9" customHeight="1">
      <c r="B31" s="553" t="s">
        <v>483</v>
      </c>
      <c r="C31" s="570"/>
      <c r="D31" s="459"/>
      <c r="E31" s="300"/>
    </row>
    <row r="32" spans="2:5" ht="33.75" customHeight="1">
      <c r="B32" s="556" t="s">
        <v>484</v>
      </c>
      <c r="C32" s="570">
        <f>SUM(C33:C34)</f>
        <v>0</v>
      </c>
      <c r="D32" s="571">
        <f>SUM(D33:D34)</f>
        <v>0</v>
      </c>
      <c r="E32" s="300"/>
    </row>
    <row r="33" spans="2:5" ht="34.5" customHeight="1">
      <c r="B33" s="553" t="s">
        <v>485</v>
      </c>
      <c r="C33" s="570"/>
      <c r="D33" s="459"/>
      <c r="E33" s="300"/>
    </row>
    <row r="34" spans="2:5" ht="34.5" customHeight="1">
      <c r="B34" s="553" t="s">
        <v>486</v>
      </c>
      <c r="C34" s="572"/>
      <c r="D34" s="537"/>
      <c r="E34" s="300"/>
    </row>
    <row r="35" spans="2:5" ht="63.75" customHeight="1">
      <c r="B35" s="555" t="s">
        <v>487</v>
      </c>
      <c r="C35" s="572"/>
      <c r="D35" s="537"/>
      <c r="E35" s="300"/>
    </row>
    <row r="36" spans="2:5" ht="53.25" customHeight="1">
      <c r="B36" s="555" t="s">
        <v>488</v>
      </c>
      <c r="C36" s="572"/>
      <c r="D36" s="537"/>
      <c r="E36" s="300"/>
    </row>
    <row r="37" spans="2:5" ht="64.5" customHeight="1">
      <c r="B37" s="555" t="s">
        <v>489</v>
      </c>
      <c r="C37" s="572"/>
      <c r="D37" s="537"/>
      <c r="E37" s="300"/>
    </row>
    <row r="38" spans="2:5" ht="60.75" customHeight="1">
      <c r="B38" s="555" t="s">
        <v>490</v>
      </c>
      <c r="C38" s="572"/>
      <c r="D38" s="537"/>
      <c r="E38" s="300"/>
    </row>
    <row r="39" spans="2:5" ht="34.5" customHeight="1">
      <c r="B39" s="554" t="s">
        <v>491</v>
      </c>
      <c r="C39" s="572">
        <f>SUM(C40:C43)</f>
        <v>0</v>
      </c>
      <c r="D39" s="573">
        <f>SUM(D40:D43)</f>
        <v>0</v>
      </c>
      <c r="E39" s="300"/>
    </row>
    <row r="40" spans="2:5" ht="34.5" customHeight="1">
      <c r="B40" s="553" t="s">
        <v>492</v>
      </c>
      <c r="C40" s="572"/>
      <c r="D40" s="537"/>
      <c r="E40" s="300"/>
    </row>
    <row r="41" spans="2:5" ht="34.5" customHeight="1">
      <c r="B41" s="553" t="s">
        <v>493</v>
      </c>
      <c r="C41" s="572"/>
      <c r="D41" s="537"/>
      <c r="E41" s="300"/>
    </row>
    <row r="42" spans="2:5" ht="34.5" customHeight="1">
      <c r="B42" s="553" t="s">
        <v>494</v>
      </c>
      <c r="C42" s="572"/>
      <c r="D42" s="537"/>
      <c r="E42" s="300"/>
    </row>
    <row r="43" spans="2:5" ht="31.5" customHeight="1">
      <c r="B43" s="553" t="s">
        <v>495</v>
      </c>
      <c r="C43" s="570"/>
      <c r="D43" s="459"/>
      <c r="E43" s="300"/>
    </row>
    <row r="44" spans="2:5" ht="31.5" customHeight="1" thickBot="1">
      <c r="B44" s="557" t="s">
        <v>151</v>
      </c>
      <c r="C44" s="574"/>
      <c r="D44" s="460"/>
      <c r="E44" s="300"/>
    </row>
    <row r="45" spans="2:5" ht="27" customHeight="1" thickBot="1">
      <c r="B45" s="558" t="s">
        <v>155</v>
      </c>
      <c r="C45" s="575">
        <f>SUM(C46:C68)</f>
        <v>3355564</v>
      </c>
      <c r="D45" s="477">
        <f>SUM(D46:D68)</f>
        <v>3360564</v>
      </c>
      <c r="E45" s="300"/>
    </row>
    <row r="46" spans="2:5" ht="18.75" customHeight="1">
      <c r="B46" s="480" t="s">
        <v>145</v>
      </c>
      <c r="C46" s="576">
        <v>264564</v>
      </c>
      <c r="D46" s="577">
        <v>264564</v>
      </c>
      <c r="E46" s="300"/>
    </row>
    <row r="47" spans="2:5" ht="21.75" customHeight="1">
      <c r="B47" s="481" t="s">
        <v>152</v>
      </c>
      <c r="C47" s="576"/>
      <c r="D47" s="577"/>
      <c r="E47" s="300"/>
    </row>
    <row r="48" spans="2:5" ht="30">
      <c r="B48" s="481" t="s">
        <v>153</v>
      </c>
      <c r="C48" s="576"/>
      <c r="D48" s="577"/>
      <c r="E48" s="300"/>
    </row>
    <row r="49" spans="2:5" ht="33" customHeight="1">
      <c r="B49" s="481" t="s">
        <v>154</v>
      </c>
      <c r="C49" s="576"/>
      <c r="D49" s="577"/>
      <c r="E49" s="300"/>
    </row>
    <row r="50" spans="2:5" ht="19.5" customHeight="1">
      <c r="B50" s="481" t="s">
        <v>146</v>
      </c>
      <c r="C50" s="576"/>
      <c r="D50" s="577"/>
      <c r="E50" s="300"/>
    </row>
    <row r="51" spans="2:5" ht="19.5" customHeight="1">
      <c r="B51" s="481" t="s">
        <v>149</v>
      </c>
      <c r="C51" s="576">
        <v>60000</v>
      </c>
      <c r="D51" s="577">
        <v>60000</v>
      </c>
      <c r="E51" s="300"/>
    </row>
    <row r="52" spans="2:5" ht="20.25" customHeight="1">
      <c r="B52" s="481" t="s">
        <v>147</v>
      </c>
      <c r="C52" s="576"/>
      <c r="D52" s="577"/>
      <c r="E52" s="300"/>
    </row>
    <row r="53" spans="2:5" ht="19.5" customHeight="1">
      <c r="B53" s="481" t="s">
        <v>408</v>
      </c>
      <c r="C53" s="576">
        <v>25000</v>
      </c>
      <c r="D53" s="577">
        <v>30000</v>
      </c>
      <c r="E53" s="300"/>
    </row>
    <row r="54" spans="2:5" ht="34.5" customHeight="1">
      <c r="B54" s="481" t="s">
        <v>150</v>
      </c>
      <c r="C54" s="576">
        <v>120000</v>
      </c>
      <c r="D54" s="577">
        <v>120000</v>
      </c>
      <c r="E54" s="300"/>
    </row>
    <row r="55" spans="2:5" ht="36" customHeight="1">
      <c r="B55" s="481" t="s">
        <v>409</v>
      </c>
      <c r="C55" s="576">
        <v>60000</v>
      </c>
      <c r="D55" s="577">
        <v>60000</v>
      </c>
      <c r="E55" s="300"/>
    </row>
    <row r="56" spans="2:5" ht="24.75" customHeight="1">
      <c r="B56" s="481" t="s">
        <v>410</v>
      </c>
      <c r="C56" s="576"/>
      <c r="D56" s="577"/>
      <c r="E56" s="300"/>
    </row>
    <row r="57" spans="2:5" ht="34.5" customHeight="1">
      <c r="B57" s="617" t="s">
        <v>740</v>
      </c>
      <c r="C57" s="576">
        <v>60000</v>
      </c>
      <c r="D57" s="576">
        <v>60000</v>
      </c>
      <c r="E57" s="300"/>
    </row>
    <row r="58" spans="2:5" ht="37.15" customHeight="1">
      <c r="B58" s="617" t="s">
        <v>739</v>
      </c>
      <c r="C58" s="576">
        <v>600000</v>
      </c>
      <c r="D58" s="577">
        <v>600000</v>
      </c>
      <c r="E58" s="300"/>
    </row>
    <row r="59" spans="2:5" ht="20.45" customHeight="1">
      <c r="B59" s="481" t="s">
        <v>142</v>
      </c>
      <c r="C59" s="576">
        <v>2166000</v>
      </c>
      <c r="D59" s="576">
        <v>2166000</v>
      </c>
      <c r="E59" s="300"/>
    </row>
    <row r="60" spans="2:5" ht="34.15" customHeight="1">
      <c r="B60" s="481" t="s">
        <v>143</v>
      </c>
      <c r="C60" s="576"/>
      <c r="D60" s="577"/>
      <c r="E60" s="300"/>
    </row>
    <row r="61" spans="2:5" ht="18">
      <c r="B61" s="481" t="s">
        <v>144</v>
      </c>
      <c r="C61" s="576"/>
      <c r="D61" s="577"/>
      <c r="E61" s="300"/>
    </row>
    <row r="62" spans="2:5" ht="18">
      <c r="B62" s="482" t="s">
        <v>428</v>
      </c>
      <c r="C62" s="576"/>
      <c r="D62" s="577"/>
      <c r="E62" s="300"/>
    </row>
    <row r="63" spans="2:5" ht="16.5" customHeight="1">
      <c r="B63" s="492"/>
      <c r="C63" s="578"/>
      <c r="D63" s="296"/>
      <c r="E63" s="300"/>
    </row>
    <row r="64" spans="2:5" ht="16.5" customHeight="1">
      <c r="B64" s="492"/>
      <c r="C64" s="578"/>
      <c r="D64" s="296"/>
      <c r="E64" s="300"/>
    </row>
    <row r="65" spans="1:14" ht="16.5" customHeight="1">
      <c r="B65" s="492"/>
      <c r="C65" s="578"/>
      <c r="D65" s="296"/>
      <c r="E65" s="300"/>
    </row>
    <row r="66" spans="1:14" ht="16.5" customHeight="1">
      <c r="B66" s="481"/>
      <c r="C66" s="578"/>
      <c r="D66" s="296"/>
      <c r="E66" s="300"/>
    </row>
    <row r="67" spans="1:14" ht="15">
      <c r="B67" s="481"/>
      <c r="C67" s="578"/>
      <c r="D67" s="296"/>
      <c r="E67" s="300"/>
    </row>
    <row r="68" spans="1:14" ht="21.75" customHeight="1" thickBot="1">
      <c r="B68" s="559" t="s">
        <v>151</v>
      </c>
      <c r="C68" s="436"/>
      <c r="D68" s="579"/>
      <c r="E68" s="300"/>
    </row>
    <row r="69" spans="1:14" ht="24.75" customHeight="1" thickBot="1">
      <c r="B69" s="560" t="s">
        <v>156</v>
      </c>
      <c r="C69" s="580">
        <f>SUM(C15,C45)</f>
        <v>3355564</v>
      </c>
      <c r="D69" s="458">
        <f>SUM(D15,D45)</f>
        <v>3360564</v>
      </c>
      <c r="E69" s="300"/>
    </row>
    <row r="70" spans="1:14" ht="40.5" customHeight="1" thickBot="1">
      <c r="B70" s="561" t="s">
        <v>157</v>
      </c>
      <c r="C70" s="580">
        <f>C68+C43-C11</f>
        <v>0</v>
      </c>
      <c r="D70" s="458">
        <f>D68+D43-D11</f>
        <v>0</v>
      </c>
      <c r="E70" s="300"/>
    </row>
    <row r="71" spans="1:14" ht="21.75" customHeight="1" thickBot="1">
      <c r="B71" s="560" t="s">
        <v>158</v>
      </c>
      <c r="C71" s="580">
        <f>SUM(C6:C10)-SUM(C17,C20,C23,C24,C27,C28,C29,C32,,C35,C36,C37,C38,C39)-SUM(C46:C67)</f>
        <v>644436</v>
      </c>
      <c r="D71" s="581">
        <f>SUM(D6:D10)-SUM(D17,D20,D23,D24,D27,D28,D29,D32,,D35,D36,D37,D38,D39)-SUM(D46:D67)</f>
        <v>1639436</v>
      </c>
      <c r="E71" s="300"/>
    </row>
    <row r="72" spans="1:14" ht="23.25" customHeight="1" thickBot="1">
      <c r="B72" s="562" t="s">
        <v>159</v>
      </c>
      <c r="C72" s="436">
        <f>C5+C12-C69+C70</f>
        <v>2300058</v>
      </c>
      <c r="D72" s="579">
        <f>D5+D12-D69+D70</f>
        <v>3939494</v>
      </c>
      <c r="E72" s="300"/>
    </row>
    <row r="73" spans="1:14" ht="18.75" thickBot="1">
      <c r="B73" s="493"/>
      <c r="C73" s="493"/>
      <c r="D73" s="494"/>
      <c r="E73" s="300"/>
    </row>
    <row r="74" spans="1:14" ht="35.25" customHeight="1" thickBot="1">
      <c r="B74" s="439" t="s">
        <v>386</v>
      </c>
      <c r="C74" s="582"/>
      <c r="D74" s="453"/>
      <c r="E74" s="1031" t="s">
        <v>388</v>
      </c>
    </row>
    <row r="75" spans="1:14" ht="33" customHeight="1" thickBot="1">
      <c r="A75" s="230">
        <v>800</v>
      </c>
      <c r="B75" s="563" t="str">
        <f>CONCATENATE("Beírt karakterek száma: ",LEN(C76))</f>
        <v>Beírt karakterek száma: 358</v>
      </c>
      <c r="C75" s="1132" t="str">
        <f>IF(A76&gt;A75,CONCATENATE("Karaktertúllépés! Kérjük, válaszát a 3 cellában összesen maximum ",A75," karakterben foglalja össze!"),CONCATENATE("Még beírható karakterek száma:   ",A75-A76))</f>
        <v>Még beírható karakterek száma:   442</v>
      </c>
      <c r="D75" s="1133"/>
      <c r="E75" s="1032"/>
    </row>
    <row r="76" spans="1:14" ht="296.25" customHeight="1" thickBot="1">
      <c r="A76" s="487">
        <f>LEN(C76)</f>
        <v>358</v>
      </c>
      <c r="B76" s="521" t="s">
        <v>316</v>
      </c>
      <c r="C76" s="1134" t="s">
        <v>723</v>
      </c>
      <c r="D76" s="1135"/>
      <c r="E76" s="1032"/>
    </row>
    <row r="77" spans="1:14" ht="32.25" customHeight="1" thickBot="1">
      <c r="A77" s="230">
        <v>800</v>
      </c>
      <c r="B77" s="563" t="str">
        <f>CONCATENATE("Beírt karakterek száma: ",LEN(C78))</f>
        <v>Beírt karakterek száma: 563</v>
      </c>
      <c r="C77" s="1132" t="str">
        <f>IF(A78&gt;A77,CONCATENATE("Karaktertúllépés! Kérjük, válaszát a 3 cellában összesen maximum ",A77," karakterben foglalja össze!"),CONCATENATE("Még beírható karakterek száma:   ",A77-A78))</f>
        <v>Még beírható karakterek száma:   237</v>
      </c>
      <c r="D77" s="1133"/>
      <c r="E77" s="1032"/>
    </row>
    <row r="78" spans="1:14" ht="330" customHeight="1" thickBot="1">
      <c r="A78" s="488">
        <f>LEN(C78)</f>
        <v>563</v>
      </c>
      <c r="B78" s="440" t="s">
        <v>362</v>
      </c>
      <c r="C78" s="1120" t="s">
        <v>756</v>
      </c>
      <c r="D78" s="1121"/>
      <c r="E78" s="490" t="s">
        <v>387</v>
      </c>
    </row>
    <row r="79" spans="1:14" ht="18">
      <c r="B79" s="441"/>
      <c r="C79" s="441"/>
      <c r="D79" s="441"/>
    </row>
    <row r="80" spans="1:14" ht="111.75" customHeight="1">
      <c r="B80" s="1122" t="s">
        <v>504</v>
      </c>
      <c r="C80" s="1122"/>
      <c r="D80" s="1122"/>
      <c r="E80" s="486"/>
      <c r="F80" s="486"/>
      <c r="G80" s="486"/>
      <c r="H80" s="486"/>
      <c r="I80" s="486"/>
      <c r="J80" s="486"/>
      <c r="K80" s="486"/>
      <c r="L80" s="486"/>
      <c r="M80" s="486"/>
      <c r="N80" s="486"/>
    </row>
    <row r="81" spans="2:14" ht="48.75" customHeight="1">
      <c r="B81" s="446"/>
      <c r="C81" s="446"/>
      <c r="D81" s="446"/>
      <c r="E81" s="446"/>
      <c r="F81" s="449"/>
      <c r="G81" s="450"/>
      <c r="H81" s="450"/>
      <c r="I81" s="450"/>
      <c r="J81" s="450"/>
      <c r="K81" s="451"/>
      <c r="L81" s="450"/>
      <c r="M81" s="450"/>
      <c r="N81" s="451"/>
    </row>
    <row r="82" spans="2:14" ht="20.25">
      <c r="B82" s="449" t="s">
        <v>459</v>
      </c>
      <c r="C82" s="449"/>
      <c r="D82" s="446"/>
      <c r="E82" s="520"/>
      <c r="F82" s="520"/>
      <c r="G82" s="520"/>
      <c r="H82" s="520"/>
      <c r="I82" s="520"/>
      <c r="J82" s="520"/>
      <c r="K82" s="520"/>
    </row>
    <row r="83" spans="2:14" ht="20.25">
      <c r="B83" s="520" t="s">
        <v>460</v>
      </c>
      <c r="C83" s="449"/>
      <c r="D83" s="446"/>
      <c r="E83" s="520"/>
      <c r="F83" s="520"/>
      <c r="G83" s="520"/>
      <c r="H83" s="520"/>
      <c r="I83" s="520"/>
      <c r="J83" s="520"/>
      <c r="K83" s="520"/>
    </row>
    <row r="84" spans="2:14" ht="28.5" customHeight="1">
      <c r="B84" s="447"/>
      <c r="C84" s="447"/>
      <c r="D84" s="446"/>
      <c r="E84" s="447"/>
      <c r="F84" s="447"/>
      <c r="G84" s="447"/>
      <c r="H84" s="447"/>
      <c r="I84" s="447"/>
      <c r="J84" s="447"/>
      <c r="K84" s="448"/>
    </row>
    <row r="85" spans="2:14" ht="40.5">
      <c r="B85" s="486" t="s">
        <v>422</v>
      </c>
      <c r="C85" s="449"/>
      <c r="D85" s="446"/>
      <c r="E85" s="520"/>
      <c r="F85" s="520"/>
      <c r="G85" s="520"/>
      <c r="H85" s="520"/>
      <c r="I85" s="520"/>
      <c r="J85" s="520"/>
      <c r="K85" s="520"/>
    </row>
    <row r="86" spans="2:14" ht="42" customHeight="1">
      <c r="B86" s="449"/>
      <c r="C86" s="450"/>
      <c r="D86" s="446"/>
      <c r="E86" s="450"/>
      <c r="F86" s="450"/>
      <c r="G86" s="450"/>
      <c r="H86" s="451"/>
      <c r="I86" s="450"/>
      <c r="J86" s="450"/>
      <c r="K86" s="451"/>
    </row>
    <row r="87" spans="2:14" ht="24.75" customHeight="1">
      <c r="B87" s="449"/>
      <c r="C87" s="450"/>
      <c r="D87" s="446"/>
      <c r="E87" s="450"/>
      <c r="F87" s="450"/>
      <c r="G87" s="450"/>
      <c r="H87" s="451"/>
      <c r="I87" s="450"/>
      <c r="J87" s="450"/>
      <c r="K87" s="451"/>
    </row>
    <row r="88" spans="2:14" ht="20.25">
      <c r="B88" s="449" t="s">
        <v>459</v>
      </c>
      <c r="C88" s="449"/>
      <c r="D88" s="446"/>
      <c r="E88" s="520"/>
      <c r="F88" s="520"/>
      <c r="G88" s="520"/>
      <c r="H88" s="520"/>
      <c r="I88" s="520"/>
      <c r="J88" s="520"/>
      <c r="K88" s="520"/>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1" priority="2">
      <formula>A76&gt;A75</formula>
    </cfRule>
  </conditionalFormatting>
  <conditionalFormatting sqref="C77">
    <cfRule type="expression" dxfId="10"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E10" sqref="E10"/>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6" t="s">
        <v>251</v>
      </c>
      <c r="C1" s="1137"/>
      <c r="D1" s="1137"/>
      <c r="E1" s="1137"/>
      <c r="F1" s="1137"/>
      <c r="G1" s="1138"/>
      <c r="H1" s="179" t="s">
        <v>207</v>
      </c>
    </row>
    <row r="2" spans="1:9" s="12" customFormat="1" ht="33" customHeight="1" thickBot="1">
      <c r="A2" s="5"/>
      <c r="B2" s="65"/>
      <c r="C2" s="66" t="s">
        <v>162</v>
      </c>
      <c r="D2" s="58" t="s">
        <v>39</v>
      </c>
      <c r="E2" s="58" t="s">
        <v>235</v>
      </c>
      <c r="F2" s="58" t="s">
        <v>430</v>
      </c>
      <c r="G2" s="58" t="s">
        <v>623</v>
      </c>
      <c r="H2" s="129" t="s">
        <v>317</v>
      </c>
    </row>
    <row r="3" spans="1:9" ht="31.5" customHeight="1" thickBot="1">
      <c r="A3" s="5"/>
      <c r="B3" s="227" t="s">
        <v>163</v>
      </c>
      <c r="C3" s="63" t="s">
        <v>164</v>
      </c>
      <c r="D3" s="166">
        <v>1200</v>
      </c>
      <c r="E3" s="525">
        <v>3000</v>
      </c>
      <c r="F3" s="529">
        <v>4000</v>
      </c>
      <c r="G3" s="529">
        <v>5000</v>
      </c>
      <c r="H3" s="1139" t="s">
        <v>525</v>
      </c>
    </row>
    <row r="4" spans="1:9" ht="31.5" customHeight="1" thickBot="1">
      <c r="A4" s="5"/>
      <c r="B4" s="227" t="s">
        <v>165</v>
      </c>
      <c r="C4" s="49" t="s">
        <v>166</v>
      </c>
      <c r="D4" s="166"/>
      <c r="E4" s="525"/>
      <c r="F4" s="530"/>
      <c r="G4" s="530"/>
      <c r="H4" s="1140"/>
    </row>
    <row r="5" spans="1:9" ht="31.5" customHeight="1" thickBot="1">
      <c r="A5" s="5"/>
      <c r="B5" s="227" t="s">
        <v>167</v>
      </c>
      <c r="C5" s="49" t="s">
        <v>741</v>
      </c>
      <c r="D5" s="166">
        <v>1833</v>
      </c>
      <c r="E5" s="525">
        <v>1500</v>
      </c>
      <c r="F5" s="530"/>
      <c r="G5" s="530"/>
      <c r="H5" s="1140"/>
    </row>
    <row r="6" spans="1:9" ht="31.5" customHeight="1" thickBot="1">
      <c r="A6" s="5"/>
      <c r="B6" s="228" t="s">
        <v>168</v>
      </c>
      <c r="C6" s="64" t="s">
        <v>169</v>
      </c>
      <c r="D6" s="166">
        <v>30</v>
      </c>
      <c r="E6" s="525">
        <v>60</v>
      </c>
      <c r="F6" s="530">
        <v>60</v>
      </c>
      <c r="G6" s="530">
        <v>60</v>
      </c>
      <c r="H6" s="1140"/>
    </row>
    <row r="7" spans="1:9" ht="31.5" customHeight="1" thickBot="1">
      <c r="A7" s="5"/>
      <c r="B7" s="228" t="s">
        <v>170</v>
      </c>
      <c r="C7" s="64" t="s">
        <v>171</v>
      </c>
      <c r="D7" s="166">
        <v>127</v>
      </c>
      <c r="E7" s="525">
        <v>240</v>
      </c>
      <c r="F7" s="530">
        <v>265</v>
      </c>
      <c r="G7" s="530">
        <v>270</v>
      </c>
      <c r="H7" s="1140"/>
    </row>
    <row r="8" spans="1:9" ht="31.5" customHeight="1" thickBot="1">
      <c r="A8" s="5"/>
      <c r="B8" s="228" t="s">
        <v>172</v>
      </c>
      <c r="C8" s="64" t="s">
        <v>173</v>
      </c>
      <c r="D8" s="166"/>
      <c r="E8" s="525"/>
      <c r="F8" s="530"/>
      <c r="G8" s="530"/>
      <c r="H8" s="1140"/>
    </row>
    <row r="9" spans="1:9" ht="31.5" customHeight="1" thickBot="1">
      <c r="A9" s="5"/>
      <c r="B9" s="228" t="s">
        <v>174</v>
      </c>
      <c r="C9" s="64"/>
      <c r="D9" s="166"/>
      <c r="E9" s="525"/>
      <c r="F9" s="530"/>
      <c r="G9" s="530"/>
      <c r="H9" s="1140"/>
    </row>
    <row r="10" spans="1:9" ht="31.5" customHeight="1" thickBot="1">
      <c r="A10" s="5"/>
      <c r="B10" s="228" t="s">
        <v>175</v>
      </c>
      <c r="C10" s="64"/>
      <c r="D10" s="166"/>
      <c r="E10" s="525"/>
      <c r="F10" s="530"/>
      <c r="G10" s="530"/>
      <c r="H10" s="1140"/>
      <c r="I10" s="12"/>
    </row>
    <row r="11" spans="1:9" ht="31.5" customHeight="1" thickBot="1">
      <c r="A11" s="5"/>
      <c r="B11" s="228" t="s">
        <v>176</v>
      </c>
      <c r="C11" s="64" t="s">
        <v>177</v>
      </c>
      <c r="D11" s="166"/>
      <c r="E11" s="525"/>
      <c r="F11" s="530"/>
      <c r="G11" s="530"/>
      <c r="H11" s="1140"/>
    </row>
    <row r="12" spans="1:9" ht="31.5" customHeight="1" thickBot="1">
      <c r="A12" s="5"/>
      <c r="B12" s="228" t="s">
        <v>239</v>
      </c>
      <c r="C12" s="64" t="s">
        <v>178</v>
      </c>
      <c r="D12" s="166"/>
      <c r="E12" s="525"/>
      <c r="F12" s="530"/>
      <c r="G12" s="530"/>
      <c r="H12" s="1140"/>
    </row>
    <row r="13" spans="1:9" ht="31.5" customHeight="1" thickBot="1">
      <c r="A13" s="5"/>
      <c r="B13" s="228" t="s">
        <v>179</v>
      </c>
      <c r="C13" s="64" t="s">
        <v>180</v>
      </c>
      <c r="D13" s="166"/>
      <c r="E13" s="531"/>
      <c r="F13" s="532"/>
      <c r="G13" s="532"/>
      <c r="H13" s="1140"/>
    </row>
    <row r="14" spans="1:9" ht="31.5" customHeight="1" thickBot="1">
      <c r="A14" s="5"/>
      <c r="B14" s="227" t="s">
        <v>181</v>
      </c>
      <c r="C14" s="49" t="s">
        <v>182</v>
      </c>
      <c r="D14" s="526">
        <f t="shared" ref="D14:G14" si="0">SUM(D6:D13)</f>
        <v>157</v>
      </c>
      <c r="E14" s="533">
        <f t="shared" si="0"/>
        <v>300</v>
      </c>
      <c r="F14" s="533">
        <f t="shared" si="0"/>
        <v>325</v>
      </c>
      <c r="G14" s="533">
        <f t="shared" si="0"/>
        <v>330</v>
      </c>
      <c r="H14" s="1140"/>
    </row>
    <row r="15" spans="1:9" ht="31.5" customHeight="1" thickBot="1">
      <c r="A15" s="5"/>
      <c r="B15" s="228" t="s">
        <v>183</v>
      </c>
      <c r="C15" s="64" t="s">
        <v>184</v>
      </c>
      <c r="D15" s="525">
        <v>1083</v>
      </c>
      <c r="E15" s="534">
        <v>2166</v>
      </c>
      <c r="F15" s="534">
        <v>2166</v>
      </c>
      <c r="G15" s="534">
        <v>2166</v>
      </c>
      <c r="H15" s="1140"/>
    </row>
    <row r="16" spans="1:9" ht="31.5" customHeight="1" thickBot="1">
      <c r="A16" s="5"/>
      <c r="B16" s="228" t="s">
        <v>185</v>
      </c>
      <c r="C16" s="64" t="s">
        <v>186</v>
      </c>
      <c r="D16" s="525"/>
      <c r="E16" s="534"/>
      <c r="F16" s="534"/>
      <c r="G16" s="534"/>
      <c r="H16" s="1140"/>
    </row>
    <row r="17" spans="1:8" ht="31.5" customHeight="1" thickBot="1">
      <c r="A17" s="5"/>
      <c r="B17" s="228" t="s">
        <v>187</v>
      </c>
      <c r="C17" s="64" t="s">
        <v>188</v>
      </c>
      <c r="D17" s="531"/>
      <c r="E17" s="714"/>
      <c r="F17" s="714"/>
      <c r="G17" s="714"/>
      <c r="H17" s="1140"/>
    </row>
    <row r="18" spans="1:8" ht="31.5" customHeight="1" thickBot="1">
      <c r="A18" s="5"/>
      <c r="B18" s="227" t="s">
        <v>189</v>
      </c>
      <c r="C18" s="49" t="s">
        <v>190</v>
      </c>
      <c r="D18" s="716">
        <f t="shared" ref="D18:G18" si="1">SUM(D15:D17)</f>
        <v>1083</v>
      </c>
      <c r="E18" s="716">
        <f t="shared" si="1"/>
        <v>2166</v>
      </c>
      <c r="F18" s="716">
        <f t="shared" si="1"/>
        <v>2166</v>
      </c>
      <c r="G18" s="716">
        <f t="shared" si="1"/>
        <v>2166</v>
      </c>
      <c r="H18" s="1141"/>
    </row>
    <row r="19" spans="1:8" ht="31.5" customHeight="1" thickBot="1">
      <c r="A19" s="5"/>
      <c r="B19" s="227" t="s">
        <v>191</v>
      </c>
      <c r="C19" s="49" t="s">
        <v>192</v>
      </c>
      <c r="D19" s="717"/>
      <c r="E19" s="717"/>
      <c r="F19" s="717"/>
      <c r="G19" s="717"/>
      <c r="H19" s="1141"/>
    </row>
    <row r="20" spans="1:8" ht="31.5" customHeight="1" thickBot="1">
      <c r="A20" s="5"/>
      <c r="B20" s="227" t="s">
        <v>193</v>
      </c>
      <c r="C20" s="49" t="s">
        <v>194</v>
      </c>
      <c r="D20" s="525"/>
      <c r="E20" s="715"/>
      <c r="F20" s="715"/>
      <c r="G20" s="715"/>
      <c r="H20" s="1140"/>
    </row>
    <row r="21" spans="1:8" ht="50.25" customHeight="1" thickBot="1">
      <c r="A21" s="5"/>
      <c r="B21" s="227" t="s">
        <v>195</v>
      </c>
      <c r="C21" s="49" t="s">
        <v>196</v>
      </c>
      <c r="D21" s="526">
        <f>+D3+D4+D5-D14-D18-D19-D20</f>
        <v>1793</v>
      </c>
      <c r="E21" s="533">
        <f t="shared" ref="E21:G21" si="2">+E3+E4+E5-E14-E18-E19-E20</f>
        <v>2034</v>
      </c>
      <c r="F21" s="533">
        <f t="shared" si="2"/>
        <v>1509</v>
      </c>
      <c r="G21" s="533">
        <f t="shared" si="2"/>
        <v>2504</v>
      </c>
      <c r="H21" s="1140"/>
    </row>
    <row r="22" spans="1:8" ht="29.25" customHeight="1" thickBot="1">
      <c r="A22" s="5"/>
      <c r="B22" s="227" t="s">
        <v>197</v>
      </c>
      <c r="C22" s="49" t="s">
        <v>198</v>
      </c>
      <c r="D22" s="525"/>
      <c r="E22" s="534"/>
      <c r="F22" s="534"/>
      <c r="G22" s="534"/>
      <c r="H22" s="1140"/>
    </row>
    <row r="23" spans="1:8" ht="31.5" customHeight="1" thickBot="1">
      <c r="A23" s="5"/>
      <c r="B23" s="227" t="s">
        <v>199</v>
      </c>
      <c r="C23" s="49" t="s">
        <v>200</v>
      </c>
      <c r="D23" s="525"/>
      <c r="E23" s="534"/>
      <c r="F23" s="534"/>
      <c r="G23" s="534"/>
      <c r="H23" s="1140"/>
    </row>
    <row r="24" spans="1:8" ht="31.5" customHeight="1" thickBot="1">
      <c r="A24" s="5"/>
      <c r="B24" s="227" t="s">
        <v>201</v>
      </c>
      <c r="C24" s="49" t="s">
        <v>202</v>
      </c>
      <c r="D24" s="527">
        <f>+D22-D23</f>
        <v>0</v>
      </c>
      <c r="E24" s="535">
        <f t="shared" ref="E24:G24" si="3">+E22-E23</f>
        <v>0</v>
      </c>
      <c r="F24" s="535">
        <f t="shared" si="3"/>
        <v>0</v>
      </c>
      <c r="G24" s="535">
        <f t="shared" si="3"/>
        <v>0</v>
      </c>
      <c r="H24" s="1142" t="s">
        <v>412</v>
      </c>
    </row>
    <row r="25" spans="1:8" ht="39.75" customHeight="1" thickBot="1">
      <c r="A25" s="5"/>
      <c r="B25" s="227" t="s">
        <v>203</v>
      </c>
      <c r="C25" s="49" t="s">
        <v>261</v>
      </c>
      <c r="D25" s="527">
        <f>+D21+D24</f>
        <v>1793</v>
      </c>
      <c r="E25" s="535">
        <f t="shared" ref="E25:G25" si="4">+E21+E24</f>
        <v>2034</v>
      </c>
      <c r="F25" s="535">
        <f t="shared" si="4"/>
        <v>1509</v>
      </c>
      <c r="G25" s="535">
        <f t="shared" si="4"/>
        <v>2504</v>
      </c>
      <c r="H25" s="1143"/>
    </row>
    <row r="26" spans="1:8" ht="31.5" customHeight="1" thickBot="1">
      <c r="A26" s="5"/>
      <c r="B26" s="227" t="s">
        <v>262</v>
      </c>
      <c r="C26" s="49" t="s">
        <v>742</v>
      </c>
      <c r="D26" s="525">
        <v>300</v>
      </c>
      <c r="E26" s="534">
        <v>600</v>
      </c>
      <c r="F26" s="534">
        <v>600</v>
      </c>
      <c r="G26" s="534">
        <v>600</v>
      </c>
      <c r="H26" s="1143"/>
    </row>
    <row r="27" spans="1:8" ht="31.5" customHeight="1" thickBot="1">
      <c r="A27" s="5"/>
      <c r="B27" s="452" t="s">
        <v>393</v>
      </c>
      <c r="C27" s="229" t="s">
        <v>394</v>
      </c>
      <c r="D27" s="528">
        <f>+D25-D26</f>
        <v>1493</v>
      </c>
      <c r="E27" s="535">
        <f>+E25-E26</f>
        <v>1434</v>
      </c>
      <c r="F27" s="535">
        <f>+F25-F26</f>
        <v>909</v>
      </c>
      <c r="G27" s="535">
        <f>+G25-G26</f>
        <v>1904</v>
      </c>
      <c r="H27" s="1144"/>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7" zoomScale="60" zoomScaleNormal="70" workbookViewId="0">
      <selection activeCell="D13" sqref="D13:E13"/>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0" t="s">
        <v>252</v>
      </c>
      <c r="C1" s="812"/>
      <c r="D1" s="132" t="s">
        <v>207</v>
      </c>
      <c r="E1" s="7"/>
      <c r="F1" s="7"/>
    </row>
    <row r="2" spans="1:6" ht="15" customHeight="1" thickBot="1">
      <c r="B2" s="131"/>
      <c r="C2" s="55"/>
      <c r="D2" s="129" t="s">
        <v>317</v>
      </c>
    </row>
    <row r="3" spans="1:6" ht="37.5" customHeight="1" thickBot="1">
      <c r="B3" s="1152" t="s">
        <v>363</v>
      </c>
      <c r="C3" s="1153"/>
      <c r="D3" s="192"/>
    </row>
    <row r="4" spans="1:6" ht="38.25" customHeight="1" thickBot="1">
      <c r="A4" s="180">
        <v>1500</v>
      </c>
      <c r="B4" s="51" t="str">
        <f>CONCATENATE("Beírt karakterek száma: ",LEN(C6)+LEN(C7)+LEN(C8))</f>
        <v>Beírt karakterek száma: 184</v>
      </c>
      <c r="C4" s="151" t="str">
        <f>IF(A5&gt;A4,CONCATENATE("Karaktertúllépés! Kérjük, válaszát a 3 cellában összesen maximum ",A4," karakterben foglalja össze!"),CONCATENATE("Még beírható karakterek száma:   ",A4-A5))</f>
        <v>Még beírható karakterek száma:   1316</v>
      </c>
      <c r="D4" s="6"/>
      <c r="E4" s="36">
        <f>LEN(C6)+LEN(C7)+LEN(C8)</f>
        <v>184</v>
      </c>
    </row>
    <row r="5" spans="1:6" ht="32.25" customHeight="1" thickBot="1">
      <c r="A5" s="191">
        <f>LEN(C6)+LEN(C7)+LEN(C8)</f>
        <v>184</v>
      </c>
      <c r="B5" s="193" t="s">
        <v>4</v>
      </c>
      <c r="C5" s="194" t="s">
        <v>5</v>
      </c>
      <c r="D5" s="6"/>
    </row>
    <row r="6" spans="1:6" ht="171" customHeight="1" thickBot="1">
      <c r="B6" s="522" t="s">
        <v>713</v>
      </c>
      <c r="C6" s="523" t="s">
        <v>711</v>
      </c>
      <c r="D6" s="739" t="s">
        <v>407</v>
      </c>
    </row>
    <row r="7" spans="1:6" ht="165.75" customHeight="1" thickBot="1">
      <c r="B7" s="524" t="s">
        <v>714</v>
      </c>
      <c r="C7" s="523" t="s">
        <v>721</v>
      </c>
      <c r="D7" s="740"/>
    </row>
    <row r="8" spans="1:6" ht="147" customHeight="1" thickBot="1">
      <c r="B8" s="524" t="s">
        <v>722</v>
      </c>
      <c r="C8" s="523" t="s">
        <v>712</v>
      </c>
      <c r="D8" s="741"/>
    </row>
    <row r="9" spans="1:6" ht="15.75">
      <c r="B9" s="10"/>
      <c r="D9" s="6"/>
    </row>
    <row r="10" spans="1:6" ht="23.25" customHeight="1" thickBot="1">
      <c r="B10" s="8" t="s">
        <v>204</v>
      </c>
      <c r="D10" s="6"/>
    </row>
    <row r="11" spans="1:6" ht="64.5" customHeight="1">
      <c r="B11" s="10" t="s">
        <v>423</v>
      </c>
      <c r="C11" s="4" t="s">
        <v>760</v>
      </c>
      <c r="D11" s="1148" t="s">
        <v>395</v>
      </c>
      <c r="E11" s="1149"/>
    </row>
    <row r="12" spans="1:6" ht="132" customHeight="1">
      <c r="B12" s="10" t="s">
        <v>528</v>
      </c>
      <c r="C12" s="723" t="s">
        <v>765</v>
      </c>
      <c r="D12" s="1150" t="s">
        <v>318</v>
      </c>
      <c r="E12" s="1151"/>
    </row>
    <row r="13" spans="1:6" ht="64.5" customHeight="1">
      <c r="B13" s="1147" t="s">
        <v>424</v>
      </c>
      <c r="C13" s="1147"/>
      <c r="D13" s="1150" t="s">
        <v>396</v>
      </c>
      <c r="E13" s="1151"/>
    </row>
    <row r="14" spans="1:6" ht="68.25" customHeight="1" thickBot="1">
      <c r="B14" s="10" t="s">
        <v>205</v>
      </c>
      <c r="C14" s="4" t="s">
        <v>760</v>
      </c>
      <c r="D14" s="1145" t="s">
        <v>397</v>
      </c>
      <c r="E14" s="1146"/>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9" priority="3">
      <formula>A5&gt;A4</formula>
    </cfRule>
  </conditionalFormatting>
  <hyperlinks>
    <hyperlink ref="D11:E11" r:id="rId1" display="http://europass.hu/europass-oneletrajz"/>
    <hyperlink ref="C12" r:id="rId2" display="http://radium.hu/asus-zen-aio-z240ic-11229.html"/>
  </hyperlinks>
  <printOptions horizontalCentered="1"/>
  <pageMargins left="0.23622047244094491" right="0.23622047244094491" top="0.74803149606299213" bottom="0.74803149606299213" header="0.31496062992125984" footer="0.31496062992125984"/>
  <pageSetup paperSize="9" scale="50" orientation="portrait" r:id="rId3"/>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4"/>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C1" zoomScale="80" zoomScaleNormal="70" zoomScaleSheetLayoutView="80" workbookViewId="0">
      <selection activeCell="C11" sqref="C11:F11"/>
    </sheetView>
  </sheetViews>
  <sheetFormatPr defaultColWidth="9.140625" defaultRowHeight="15.75"/>
  <cols>
    <col min="1" max="1" width="5.7109375" style="4" customWidth="1"/>
    <col min="2" max="2" width="4.42578125" style="497" customWidth="1"/>
    <col min="3" max="3" width="40.7109375" style="496" customWidth="1"/>
    <col min="4" max="4" width="26.5703125" style="496" customWidth="1"/>
    <col min="5" max="5" width="12.7109375" style="496" customWidth="1"/>
    <col min="6" max="6" width="26.85546875" style="496" customWidth="1"/>
    <col min="7" max="7" width="12.7109375" style="496" customWidth="1"/>
    <col min="8" max="8" width="52" style="4" customWidth="1"/>
    <col min="9" max="9" width="78" style="4" customWidth="1"/>
    <col min="10" max="16384" width="9.140625" style="4"/>
  </cols>
  <sheetData>
    <row r="1" spans="2:9" ht="16.5" thickBot="1">
      <c r="C1" s="495"/>
      <c r="D1" s="495"/>
      <c r="E1" s="495"/>
      <c r="F1" s="495"/>
      <c r="G1" s="495"/>
      <c r="H1" s="6"/>
    </row>
    <row r="2" spans="2:9" ht="42" customHeight="1">
      <c r="B2" s="505"/>
      <c r="C2" s="1163" t="s">
        <v>436</v>
      </c>
      <c r="D2" s="1163"/>
      <c r="E2" s="1163"/>
      <c r="F2" s="1163"/>
      <c r="G2" s="1164"/>
      <c r="H2" s="6"/>
    </row>
    <row r="3" spans="2:9" ht="51.75" customHeight="1" thickBot="1">
      <c r="B3" s="506"/>
      <c r="C3" s="514"/>
      <c r="D3" s="515" t="s">
        <v>437</v>
      </c>
      <c r="E3" s="515" t="s">
        <v>447</v>
      </c>
      <c r="F3" s="515" t="s">
        <v>446</v>
      </c>
      <c r="G3" s="516" t="s">
        <v>447</v>
      </c>
      <c r="H3" s="6"/>
    </row>
    <row r="4" spans="2:9" ht="65.25" customHeight="1">
      <c r="B4" s="506" t="s">
        <v>85</v>
      </c>
      <c r="C4" s="498" t="s">
        <v>423</v>
      </c>
      <c r="D4" s="500" t="s">
        <v>457</v>
      </c>
      <c r="E4" s="502" t="s">
        <v>761</v>
      </c>
      <c r="F4" s="500" t="s">
        <v>456</v>
      </c>
      <c r="G4" s="513" t="s">
        <v>762</v>
      </c>
      <c r="H4" s="1165" t="s">
        <v>395</v>
      </c>
      <c r="I4" s="1149"/>
    </row>
    <row r="5" spans="2:9" ht="105.75" customHeight="1">
      <c r="B5" s="506" t="s">
        <v>86</v>
      </c>
      <c r="C5" s="498" t="s">
        <v>413</v>
      </c>
      <c r="D5" s="500" t="s">
        <v>438</v>
      </c>
      <c r="E5" s="502" t="s">
        <v>761</v>
      </c>
      <c r="F5" s="500" t="s">
        <v>439</v>
      </c>
      <c r="G5" s="513" t="s">
        <v>762</v>
      </c>
      <c r="H5" s="1166" t="s">
        <v>318</v>
      </c>
      <c r="I5" s="1151"/>
    </row>
    <row r="6" spans="2:9" ht="74.25" customHeight="1">
      <c r="B6" s="506" t="s">
        <v>88</v>
      </c>
      <c r="C6" s="498" t="s">
        <v>424</v>
      </c>
      <c r="D6" s="500" t="s">
        <v>441</v>
      </c>
      <c r="E6" s="502"/>
      <c r="F6" s="500" t="s">
        <v>440</v>
      </c>
      <c r="G6" s="513"/>
      <c r="H6" s="1166" t="s">
        <v>396</v>
      </c>
      <c r="I6" s="1151"/>
    </row>
    <row r="7" spans="2:9" ht="87.75" customHeight="1" thickBot="1">
      <c r="B7" s="506" t="s">
        <v>444</v>
      </c>
      <c r="C7" s="498" t="s">
        <v>205</v>
      </c>
      <c r="D7" s="500" t="s">
        <v>442</v>
      </c>
      <c r="E7" s="502" t="s">
        <v>761</v>
      </c>
      <c r="F7" s="500" t="s">
        <v>443</v>
      </c>
      <c r="G7" s="513" t="s">
        <v>761</v>
      </c>
      <c r="H7" s="1162" t="s">
        <v>397</v>
      </c>
      <c r="I7" s="1146"/>
    </row>
    <row r="8" spans="2:9" ht="18" customHeight="1" thickBot="1">
      <c r="B8" s="506"/>
      <c r="C8" s="499"/>
      <c r="D8" s="500"/>
      <c r="E8" s="500"/>
      <c r="F8" s="500"/>
      <c r="G8" s="501"/>
    </row>
    <row r="9" spans="2:9" ht="67.5" customHeight="1">
      <c r="B9" s="506" t="s">
        <v>445</v>
      </c>
      <c r="C9" s="1154" t="s">
        <v>452</v>
      </c>
      <c r="D9" s="1154"/>
      <c r="E9" s="503" t="s">
        <v>761</v>
      </c>
      <c r="F9" s="504" t="s">
        <v>454</v>
      </c>
      <c r="G9" s="507" t="s">
        <v>454</v>
      </c>
      <c r="H9" s="1156" t="s">
        <v>537</v>
      </c>
      <c r="I9" s="1157"/>
    </row>
    <row r="10" spans="2:9" ht="111.75" customHeight="1">
      <c r="B10" s="506" t="s">
        <v>448</v>
      </c>
      <c r="C10" s="1154" t="s">
        <v>453</v>
      </c>
      <c r="D10" s="1154"/>
      <c r="E10" s="1154"/>
      <c r="F10" s="1154"/>
      <c r="G10" s="508" t="s">
        <v>761</v>
      </c>
      <c r="H10" s="1158"/>
      <c r="I10" s="1159"/>
    </row>
    <row r="11" spans="2:9" ht="152.25" customHeight="1">
      <c r="B11" s="506" t="s">
        <v>449</v>
      </c>
      <c r="C11" s="1154" t="s">
        <v>450</v>
      </c>
      <c r="D11" s="1154"/>
      <c r="E11" s="1154"/>
      <c r="F11" s="1154"/>
      <c r="G11" s="508" t="s">
        <v>761</v>
      </c>
      <c r="H11" s="1158"/>
      <c r="I11" s="1159"/>
    </row>
    <row r="12" spans="2:9" ht="128.25" customHeight="1">
      <c r="B12" s="506" t="s">
        <v>239</v>
      </c>
      <c r="C12" s="1154" t="s">
        <v>538</v>
      </c>
      <c r="D12" s="1154"/>
      <c r="E12" s="1154"/>
      <c r="F12" s="1154"/>
      <c r="G12" s="508" t="s">
        <v>761</v>
      </c>
      <c r="H12" s="1158" t="s">
        <v>458</v>
      </c>
      <c r="I12" s="1159"/>
    </row>
    <row r="13" spans="2:9" ht="66.75" customHeight="1" thickBot="1">
      <c r="B13" s="509" t="s">
        <v>455</v>
      </c>
      <c r="C13" s="1155" t="s">
        <v>451</v>
      </c>
      <c r="D13" s="1155"/>
      <c r="E13" s="510" t="s">
        <v>761</v>
      </c>
      <c r="F13" s="511" t="s">
        <v>454</v>
      </c>
      <c r="G13" s="512" t="s">
        <v>454</v>
      </c>
      <c r="H13" s="1160"/>
      <c r="I13" s="1161"/>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38" customWidth="1"/>
    <col min="2" max="2" width="31.5703125" style="638" customWidth="1"/>
    <col min="3" max="3" width="28" style="638" customWidth="1"/>
    <col min="4" max="4" width="65.85546875" style="638" customWidth="1"/>
    <col min="5" max="5" width="23.5703125" style="638" bestFit="1" customWidth="1"/>
    <col min="6" max="7" width="23.140625" style="638" customWidth="1"/>
    <col min="8" max="8" width="1.42578125" style="630" customWidth="1"/>
    <col min="9" max="9" width="27.5703125" style="638" customWidth="1"/>
    <col min="10" max="10" width="2" style="638" customWidth="1"/>
    <col min="11" max="11" width="27.5703125" style="638" customWidth="1"/>
    <col min="12" max="12" width="2" style="630" customWidth="1"/>
    <col min="13" max="13" width="21.7109375" style="668" customWidth="1"/>
    <col min="14" max="14" width="21.5703125" style="668" customWidth="1"/>
    <col min="15" max="15" width="17.85546875" style="668" customWidth="1"/>
    <col min="16" max="16" width="16.28515625" style="668" bestFit="1" customWidth="1"/>
    <col min="17" max="17" width="15.28515625" style="668" customWidth="1"/>
    <col min="18" max="18" width="17.85546875" style="668" bestFit="1" customWidth="1"/>
    <col min="19" max="23" width="9.140625" style="630"/>
    <col min="24" max="16384" width="9.140625" style="638"/>
  </cols>
  <sheetData>
    <row r="1" spans="1:20" s="630" customFormat="1" ht="23.25" customHeight="1">
      <c r="D1" s="631"/>
      <c r="I1" s="1167" t="s">
        <v>539</v>
      </c>
      <c r="J1" s="1167"/>
      <c r="K1" s="1167"/>
      <c r="M1" s="632"/>
      <c r="N1" s="633"/>
      <c r="O1" s="633"/>
      <c r="P1" s="633"/>
      <c r="Q1" s="633"/>
      <c r="R1" s="633"/>
    </row>
    <row r="2" spans="1:20" s="630" customFormat="1" ht="57" customHeight="1">
      <c r="A2" s="1168" t="s">
        <v>607</v>
      </c>
      <c r="B2" s="1169"/>
      <c r="C2" s="634"/>
      <c r="D2" s="635"/>
      <c r="E2" s="636"/>
      <c r="F2" s="636"/>
      <c r="G2" s="637">
        <f>+'10.a-Cash-flow 1. év'!O15+'10.b-Cash-flow 2. év'!O15</f>
        <v>3312429</v>
      </c>
      <c r="I2" s="1170"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71"/>
      <c r="K2" s="1172"/>
      <c r="M2" s="632" t="s">
        <v>540</v>
      </c>
      <c r="N2" s="632" t="s">
        <v>541</v>
      </c>
      <c r="O2" s="633"/>
      <c r="P2" s="633"/>
      <c r="Q2" s="633"/>
      <c r="R2" s="633"/>
    </row>
    <row r="3" spans="1:20" s="630" customFormat="1" ht="57" customHeight="1">
      <c r="A3" s="1169"/>
      <c r="B3" s="1169"/>
      <c r="C3" s="638"/>
      <c r="D3" s="639">
        <f ca="1">NOW()</f>
        <v>43257.423308449077</v>
      </c>
      <c r="E3" s="1173">
        <f>+'10.a-Cash-flow 1. év'!O8+'10.a-Cash-flow 1. év'!O9</f>
        <v>1500000</v>
      </c>
      <c r="F3" s="1173">
        <f>+'10.b-Cash-flow 2. év'!O8+'10.b-Cash-flow 2. év'!O9</f>
        <v>1500000</v>
      </c>
      <c r="G3" s="1174">
        <f>+'10.a-Cash-flow 1. év'!O16+'10.b-Cash-flow 2. év'!O16</f>
        <v>2981186.1</v>
      </c>
      <c r="I3" s="1170"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71"/>
      <c r="K3" s="1172"/>
      <c r="M3" s="632" t="s">
        <v>608</v>
      </c>
      <c r="N3" s="632" t="s">
        <v>542</v>
      </c>
      <c r="O3" s="633"/>
      <c r="P3" s="633"/>
      <c r="Q3" s="633"/>
      <c r="R3" s="633"/>
    </row>
    <row r="4" spans="1:20" s="630" customFormat="1" ht="54.75" customHeight="1">
      <c r="A4" s="1169"/>
      <c r="B4" s="1169"/>
      <c r="D4" s="640" t="str">
        <f>HYPERLINK("https://youtu.be/OMgLQ-bE7v0","Kisvideó - kérjük nézze meg!")</f>
        <v>Kisvideó - kérjük nézze meg!</v>
      </c>
      <c r="E4" s="1173"/>
      <c r="F4" s="1173"/>
      <c r="G4" s="1174"/>
      <c r="I4" s="1175" t="str">
        <f>IF(G3&lt;3000000,"A támogatási összeg nem haladja meg a 3.000.000 Ft-ot.","HIBA! - tervezze át, mert az igényelt támogatás összege több mint 3.000.000 Ft!")</f>
        <v>A támogatási összeg nem haladja meg a 3.000.000 Ft-ot.</v>
      </c>
      <c r="J4" s="1175"/>
      <c r="K4" s="1175"/>
      <c r="M4" s="632" t="s">
        <v>543</v>
      </c>
      <c r="N4" s="632" t="s">
        <v>544</v>
      </c>
      <c r="T4" s="633"/>
    </row>
    <row r="5" spans="1:20" s="630" customFormat="1" ht="18.75">
      <c r="E5" s="636"/>
      <c r="F5" s="636"/>
      <c r="G5" s="641">
        <f>+'10.a-Cash-flow 1. év'!O45+'10.b-Cash-flow 2. év'!O45</f>
        <v>2565282</v>
      </c>
      <c r="M5" s="632" t="s">
        <v>609</v>
      </c>
      <c r="N5" s="632"/>
      <c r="O5" s="633"/>
      <c r="P5" s="633"/>
      <c r="Q5" s="642"/>
      <c r="R5" s="633"/>
    </row>
    <row r="6" spans="1:20" s="630" customFormat="1" ht="18.75">
      <c r="E6" s="643"/>
      <c r="F6" s="643"/>
      <c r="G6" s="641">
        <f>+'10.a-Cash-flow 1. év'!O68+'10.b-Cash-flow 2. év'!O68</f>
        <v>5877711</v>
      </c>
      <c r="I6" s="1176"/>
      <c r="J6" s="1176"/>
      <c r="K6" s="1176"/>
      <c r="M6" s="632" t="s">
        <v>545</v>
      </c>
      <c r="N6" s="632"/>
      <c r="O6" s="633"/>
      <c r="P6" s="633"/>
      <c r="Q6" s="642"/>
      <c r="R6" s="633"/>
    </row>
    <row r="7" spans="1:20" s="630" customFormat="1">
      <c r="M7" s="632" t="s">
        <v>610</v>
      </c>
      <c r="N7" s="632"/>
    </row>
    <row r="8" spans="1:20" s="630" customFormat="1" ht="66">
      <c r="A8" s="1177" t="s">
        <v>546</v>
      </c>
      <c r="B8" s="1177"/>
      <c r="C8" s="644" t="s">
        <v>547</v>
      </c>
      <c r="D8" s="644" t="s">
        <v>548</v>
      </c>
      <c r="E8" s="644" t="s">
        <v>549</v>
      </c>
      <c r="F8" s="644" t="s">
        <v>550</v>
      </c>
      <c r="G8" s="644" t="s">
        <v>551</v>
      </c>
      <c r="I8" s="645" t="s">
        <v>552</v>
      </c>
      <c r="J8" s="646"/>
      <c r="K8" s="645" t="s">
        <v>553</v>
      </c>
      <c r="M8" s="647">
        <v>6.5000000000000002E-2</v>
      </c>
      <c r="N8" s="647"/>
      <c r="O8" s="648" t="s">
        <v>554</v>
      </c>
      <c r="P8" s="649">
        <v>0.15</v>
      </c>
      <c r="Q8" s="649"/>
      <c r="R8" s="650" t="s">
        <v>554</v>
      </c>
    </row>
    <row r="9" spans="1:20" s="630" customFormat="1" ht="57.75" customHeight="1">
      <c r="A9" s="1178" t="s">
        <v>555</v>
      </c>
      <c r="B9" s="1180" t="s">
        <v>556</v>
      </c>
      <c r="C9" s="1178" t="s">
        <v>557</v>
      </c>
      <c r="D9" s="1178" t="s">
        <v>558</v>
      </c>
      <c r="E9" s="1182">
        <f>+'10.a-Cash-flow 1. év'!O17</f>
        <v>0</v>
      </c>
      <c r="F9" s="1182">
        <f>+'10.b-Cash-flow 2. év'!O17</f>
        <v>0</v>
      </c>
      <c r="G9" s="1182">
        <f>+'10.a-Cash-flow 1. év'!O17+'10.b-Cash-flow 2. év'!O17</f>
        <v>0</v>
      </c>
      <c r="H9" s="651"/>
      <c r="I9" s="652" t="str">
        <f>IF(N9=0,IF(M9&gt;O9,"HIBA! - tervezze át, meghaladja az előírt korlátot.","A tervezési korlát rendben van."),0)</f>
        <v>A tervezési korlát rendben van.</v>
      </c>
      <c r="J9" s="653"/>
      <c r="K9" s="654">
        <f>IF(N9&gt;0,IF(N9&gt;O9,"HIBA! - tervezze át, meghaladja az előírt korlátot.","A tervezési korlát rendben van."),0)</f>
        <v>0</v>
      </c>
      <c r="M9" s="655">
        <f>G9+G11+G26</f>
        <v>6769</v>
      </c>
      <c r="N9" s="655">
        <f>IF($G$30=0,0,M9*1.27)</f>
        <v>0</v>
      </c>
      <c r="O9" s="655">
        <f>G32/100*6.5</f>
        <v>215307.88500000001</v>
      </c>
    </row>
    <row r="10" spans="1:20" s="630" customFormat="1" ht="57.75" customHeight="1">
      <c r="A10" s="1179"/>
      <c r="B10" s="1181"/>
      <c r="C10" s="1179"/>
      <c r="D10" s="1179"/>
      <c r="E10" s="1183"/>
      <c r="F10" s="1183"/>
      <c r="G10" s="1183"/>
      <c r="H10" s="651"/>
      <c r="I10" s="652" t="str">
        <f>IF(Q10=0,IF(P10&gt;R10,"HIBA! - tervezze át, meghaladja az előírt korlátot.","A tervezési korlát rendben van."),0)</f>
        <v>A tervezési korlát rendben van.</v>
      </c>
      <c r="J10" s="653"/>
      <c r="K10" s="654">
        <f>IF(Q10&gt;0,IF(Q10&gt;R10,"HIBA! - tervezze át, meghaladja az előírt korlátot.","A tervezési korlát rendben van."),0)</f>
        <v>0</v>
      </c>
      <c r="L10" s="651"/>
      <c r="M10" s="656"/>
      <c r="N10" s="657"/>
      <c r="O10" s="657"/>
      <c r="P10" s="655">
        <f>G11+G26</f>
        <v>6769</v>
      </c>
      <c r="Q10" s="658">
        <f>IF($G$30=0,0,P10*1.27)</f>
        <v>0</v>
      </c>
      <c r="R10" s="655">
        <f>G32*0.15</f>
        <v>496864.35</v>
      </c>
    </row>
    <row r="11" spans="1:20" s="630" customFormat="1" ht="150">
      <c r="A11" s="659" t="s">
        <v>559</v>
      </c>
      <c r="B11" s="660" t="s">
        <v>560</v>
      </c>
      <c r="C11" s="661" t="s">
        <v>561</v>
      </c>
      <c r="D11" s="658"/>
      <c r="E11" s="662">
        <f>+'10.a-Cash-flow 1. év'!O23</f>
        <v>6769</v>
      </c>
      <c r="F11" s="662">
        <f>+'10.b-Cash-flow 2. év'!O23</f>
        <v>0</v>
      </c>
      <c r="G11" s="662">
        <f>+'10.a-Cash-flow 1. év'!O23+'10.b-Cash-flow 2. év'!O23</f>
        <v>6769</v>
      </c>
      <c r="H11" s="651"/>
      <c r="I11" s="663">
        <f>IF(G11=0,"Nem tervezett kötelezően előírt nyivánosság biztosításához költséget, kérjük tervezzen!",0)</f>
        <v>0</v>
      </c>
      <c r="J11" s="664"/>
      <c r="K11" s="664" t="s">
        <v>562</v>
      </c>
      <c r="L11" s="695"/>
      <c r="M11" s="632" t="s">
        <v>563</v>
      </c>
      <c r="N11" s="632" t="s">
        <v>564</v>
      </c>
      <c r="O11" s="695"/>
      <c r="P11" s="696"/>
      <c r="R11" s="633"/>
    </row>
    <row r="12" spans="1:20" s="630" customFormat="1" ht="71.25" customHeight="1">
      <c r="A12" s="1178" t="s">
        <v>567</v>
      </c>
      <c r="B12" s="1178" t="s">
        <v>568</v>
      </c>
      <c r="C12" s="1178" t="s">
        <v>569</v>
      </c>
      <c r="D12" s="1178" t="s">
        <v>570</v>
      </c>
      <c r="E12" s="1184">
        <f>+'10.a-Cash-flow 1. év'!O20</f>
        <v>1083000</v>
      </c>
      <c r="F12" s="1184">
        <f>+'10.b-Cash-flow 2. év'!O20</f>
        <v>1083000</v>
      </c>
      <c r="G12" s="1184">
        <f>+'10.a-Cash-flow 1. év'!O20+'10.b-Cash-flow 2. év'!O20</f>
        <v>2166000</v>
      </c>
      <c r="H12" s="651"/>
      <c r="I12" s="665" t="str">
        <f>IF(E12&gt;0,"Az 1. üzleti évre tervezett költséget foglalkoztatásra.","Az 1. üzleti évre NEM tervezett költséget foglalkoztatásra, kérjük pótolja!")</f>
        <v>Az 1. üzleti évre tervezett költséget foglalkoztatásra.</v>
      </c>
      <c r="J12" s="632"/>
      <c r="K12" s="664" t="s">
        <v>616</v>
      </c>
      <c r="L12" s="632"/>
      <c r="M12" s="666" t="str">
        <f>IF(P12&gt;0,"A 3. üzleti évre tervezett költséget foglalkoztatásra.","A 3. üzleti évre NEM tervezett költséget foglalkoztatásra, kérjük pótolja!")</f>
        <v>A 3. üzleti évre tervezett költséget foglalkoztatásra.</v>
      </c>
      <c r="N12" s="632"/>
      <c r="O12" s="667" t="s">
        <v>565</v>
      </c>
      <c r="P12" s="1186">
        <f>+'10.c-Cash-flow 3-4. év'!C20+'10.c-Cash-flow 3-4. év'!C20+'10.c-Cash-flow 3-4. év'!C59+'10.c-Cash-flow 3-4. év'!C60+'10.c-Cash-flow 3-4. év'!C61</f>
        <v>2166000</v>
      </c>
      <c r="Q12" s="1186"/>
      <c r="R12" s="633"/>
    </row>
    <row r="13" spans="1:20" s="630" customFormat="1" ht="71.25" customHeight="1">
      <c r="A13" s="1179"/>
      <c r="B13" s="1179"/>
      <c r="C13" s="1179"/>
      <c r="D13" s="1179"/>
      <c r="E13" s="1185"/>
      <c r="F13" s="1185"/>
      <c r="G13" s="1185"/>
      <c r="H13" s="651"/>
      <c r="I13" s="665" t="str">
        <f>IF(F12&gt;0,"A 2. üzleti évre tervezett költséget foglalkoztatásra.","A 2. üzleti évre NEM tervezett költséget foglalkoztatásra, kérjük pótolja!")</f>
        <v>A 2. üzleti évre tervezett költséget foglalkoztatásra.</v>
      </c>
      <c r="J13" s="668"/>
      <c r="K13" s="694" t="s">
        <v>575</v>
      </c>
      <c r="L13" s="633"/>
      <c r="N13" s="666" t="str">
        <f>IF(P13&gt;0,"A 4. üzleti évre tervezett költséget foglalkoztatásra.","A 4. üzleti évre NEM tervezett költséget foglalkoztatásra, kérjük pótolja!!")</f>
        <v>A 4. üzleti évre tervezett költséget foglalkoztatásra.</v>
      </c>
      <c r="O13" s="667" t="s">
        <v>566</v>
      </c>
      <c r="P13" s="1186">
        <f>+'10.c-Cash-flow 3-4. év'!D20+'10.c-Cash-flow 3-4. év'!D59+'10.c-Cash-flow 3-4. év'!D60+'10.c-Cash-flow 3-4. év'!D61</f>
        <v>2166000</v>
      </c>
      <c r="Q13" s="1186"/>
      <c r="R13" s="668"/>
    </row>
    <row r="14" spans="1:20" s="630" customFormat="1" ht="60">
      <c r="A14" s="659" t="s">
        <v>571</v>
      </c>
      <c r="B14" s="659" t="s">
        <v>572</v>
      </c>
      <c r="C14" s="669" t="s">
        <v>573</v>
      </c>
      <c r="D14" s="659" t="s">
        <v>574</v>
      </c>
      <c r="E14" s="670">
        <f>+'10.a-Cash-flow 1. év'!O24</f>
        <v>720000</v>
      </c>
      <c r="F14" s="670">
        <f>+'10.b-Cash-flow 2. év'!O24</f>
        <v>0</v>
      </c>
      <c r="G14" s="670">
        <f>+'10.a-Cash-flow 1. év'!O24+'10.b-Cash-flow 2. év'!O24</f>
        <v>720000</v>
      </c>
      <c r="H14" s="651"/>
      <c r="I14" s="632" t="s">
        <v>575</v>
      </c>
      <c r="J14" s="632"/>
      <c r="K14" s="632" t="s">
        <v>576</v>
      </c>
      <c r="L14" s="632"/>
      <c r="M14" s="632" t="s">
        <v>577</v>
      </c>
      <c r="N14" s="632" t="s">
        <v>578</v>
      </c>
      <c r="O14" s="632"/>
      <c r="P14" s="633"/>
      <c r="Q14" s="633"/>
      <c r="R14" s="633"/>
    </row>
    <row r="15" spans="1:20" s="630" customFormat="1" ht="30">
      <c r="A15" s="659" t="s">
        <v>579</v>
      </c>
      <c r="B15" s="659" t="s">
        <v>580</v>
      </c>
      <c r="C15" s="671"/>
      <c r="D15" s="658"/>
      <c r="E15" s="670">
        <f>+'10.a-Cash-flow 1. év'!O27</f>
        <v>0</v>
      </c>
      <c r="F15" s="670">
        <f>+'10.b-Cash-flow 2. év'!O27</f>
        <v>0</v>
      </c>
      <c r="G15" s="670">
        <f>+'10.a-Cash-flow 1. év'!O27+'10.b-Cash-flow 2. év'!O27</f>
        <v>0</v>
      </c>
      <c r="H15" s="651"/>
      <c r="I15" s="633"/>
      <c r="J15" s="633"/>
      <c r="K15" s="633"/>
      <c r="L15" s="651"/>
      <c r="M15" s="672">
        <v>0.3</v>
      </c>
      <c r="N15" s="672"/>
      <c r="O15" s="673" t="s">
        <v>554</v>
      </c>
      <c r="P15" s="633"/>
      <c r="Q15" s="633"/>
      <c r="R15" s="633"/>
    </row>
    <row r="16" spans="1:20" s="630" customFormat="1" ht="45">
      <c r="A16" s="659" t="s">
        <v>581</v>
      </c>
      <c r="B16" s="659" t="s">
        <v>580</v>
      </c>
      <c r="C16" s="674" t="s">
        <v>582</v>
      </c>
      <c r="D16" s="658"/>
      <c r="E16" s="670">
        <f>+'10.a-Cash-flow 1. év'!O28</f>
        <v>0</v>
      </c>
      <c r="F16" s="670">
        <f>+'10.b-Cash-flow 2. év'!O28</f>
        <v>0</v>
      </c>
      <c r="G16" s="670">
        <f>+'10.a-Cash-flow 1. év'!O28+'10.b-Cash-flow 2. év'!O28</f>
        <v>0</v>
      </c>
      <c r="H16" s="651"/>
      <c r="I16" s="652" t="str">
        <f>IF(N16=0,IF(M16&gt;O16,"HIBA! - tervezze át, meghaladja az előírt korlátot.","A tervezési korlát rendben van."),0)</f>
        <v>A tervezési korlát rendben van.</v>
      </c>
      <c r="J16" s="653"/>
      <c r="K16" s="654">
        <f>IF(N16&gt;0,IF(N16&gt;O16,"HIBA! - tervezze át, meghaladja az előírt korlátot.","A tervezési korlát rendben van."),0)</f>
        <v>0</v>
      </c>
      <c r="L16" s="651"/>
      <c r="M16" s="655">
        <f>G16</f>
        <v>0</v>
      </c>
      <c r="N16" s="655">
        <f>IF($G$30=0,0,M16*1.27)</f>
        <v>0</v>
      </c>
      <c r="O16" s="655">
        <f>G32*0.3</f>
        <v>993728.7</v>
      </c>
      <c r="P16" s="633"/>
      <c r="Q16" s="633"/>
      <c r="R16" s="633"/>
    </row>
    <row r="17" spans="1:18" s="630" customFormat="1" ht="150">
      <c r="A17" s="659" t="s">
        <v>583</v>
      </c>
      <c r="B17" s="659" t="s">
        <v>584</v>
      </c>
      <c r="C17" s="659" t="s">
        <v>585</v>
      </c>
      <c r="D17" s="659" t="s">
        <v>586</v>
      </c>
      <c r="E17" s="670">
        <f>+'10.a-Cash-flow 1. év'!O29</f>
        <v>176000</v>
      </c>
      <c r="F17" s="670">
        <f>+'10.b-Cash-flow 2. év'!O29</f>
        <v>0</v>
      </c>
      <c r="G17" s="670">
        <f>+'10.a-Cash-flow 1. év'!O29+'10.b-Cash-flow 2. év'!O29</f>
        <v>176000</v>
      </c>
      <c r="H17" s="651"/>
      <c r="I17" s="633"/>
      <c r="J17" s="633"/>
      <c r="K17" s="633"/>
      <c r="L17" s="633"/>
      <c r="M17" s="633"/>
      <c r="N17" s="633"/>
      <c r="O17" s="633"/>
      <c r="P17" s="633"/>
      <c r="Q17" s="633"/>
      <c r="R17" s="633"/>
    </row>
    <row r="18" spans="1:18" s="630" customFormat="1" ht="75">
      <c r="A18" s="659" t="s">
        <v>587</v>
      </c>
      <c r="B18" s="659" t="s">
        <v>588</v>
      </c>
      <c r="C18" s="671"/>
      <c r="D18" s="659" t="s">
        <v>589</v>
      </c>
      <c r="E18" s="670">
        <f>+'10.a-Cash-flow 1. év'!O32</f>
        <v>121830</v>
      </c>
      <c r="F18" s="670">
        <f>+'10.b-Cash-flow 2. év'!O32</f>
        <v>121830</v>
      </c>
      <c r="G18" s="670">
        <f>+'10.a-Cash-flow 1. év'!O32+'10.b-Cash-flow 2. év'!O32</f>
        <v>243660</v>
      </c>
      <c r="H18" s="651"/>
      <c r="I18" s="633"/>
      <c r="J18" s="633"/>
      <c r="K18" s="633"/>
      <c r="L18" s="651"/>
      <c r="M18" s="675">
        <v>0.3</v>
      </c>
      <c r="N18" s="675"/>
      <c r="O18" s="676" t="s">
        <v>590</v>
      </c>
      <c r="P18" s="633"/>
      <c r="Q18" s="633"/>
      <c r="R18" s="633"/>
    </row>
    <row r="19" spans="1:18" s="630" customFormat="1" ht="45">
      <c r="A19" s="659" t="s">
        <v>591</v>
      </c>
      <c r="B19" s="659" t="s">
        <v>592</v>
      </c>
      <c r="C19" s="677" t="s">
        <v>582</v>
      </c>
      <c r="D19" s="659" t="s">
        <v>593</v>
      </c>
      <c r="E19" s="670">
        <f>+'10.a-Cash-flow 1. év'!O35</f>
        <v>0</v>
      </c>
      <c r="F19" s="670">
        <f>+'10.b-Cash-flow 2. év'!O35</f>
        <v>0</v>
      </c>
      <c r="G19" s="670">
        <f>+'10.a-Cash-flow 1. év'!O35+'10.b-Cash-flow 2. év'!O35</f>
        <v>0</v>
      </c>
      <c r="H19" s="651"/>
      <c r="I19" s="652" t="str">
        <f>IF(N19=0,IF(M19&gt;O19,"HIBA! - tervezze át, meghaladja az előírt korlátot.","A tervezési korlát rendben van."),0)</f>
        <v>A tervezési korlát rendben van.</v>
      </c>
      <c r="J19" s="653"/>
      <c r="K19" s="654">
        <f>IF(N19&gt;0,IF(N19&gt;O19,"HIBA! - tervezze át, meghaladja az előírt korlátot.","A tervezési korlát rendben van."),0)</f>
        <v>0</v>
      </c>
      <c r="L19" s="651"/>
      <c r="M19" s="655">
        <f>G19</f>
        <v>0</v>
      </c>
      <c r="N19" s="655">
        <f>IF($G$30=0,0,M19*1.27)</f>
        <v>0</v>
      </c>
      <c r="O19" s="655">
        <f>G32*0.3</f>
        <v>993728.7</v>
      </c>
      <c r="P19" s="633"/>
      <c r="Q19" s="633"/>
      <c r="R19" s="633"/>
    </row>
    <row r="20" spans="1:18" s="630" customFormat="1" ht="60">
      <c r="A20" s="659" t="s">
        <v>594</v>
      </c>
      <c r="B20" s="659" t="s">
        <v>595</v>
      </c>
      <c r="C20" s="1187" t="s">
        <v>582</v>
      </c>
      <c r="D20" s="659" t="s">
        <v>596</v>
      </c>
      <c r="E20" s="678">
        <f>+'10.a-Cash-flow 1. év'!O36</f>
        <v>0</v>
      </c>
      <c r="F20" s="678">
        <f>+'10.b-Cash-flow 2. év'!O36</f>
        <v>0</v>
      </c>
      <c r="G20" s="678">
        <f>+'10.a-Cash-flow 1. év'!O36+'10.b-Cash-flow 2. év'!O36</f>
        <v>0</v>
      </c>
      <c r="H20" s="651"/>
      <c r="I20" s="633"/>
      <c r="J20" s="633"/>
      <c r="K20" s="633"/>
      <c r="L20" s="651"/>
      <c r="M20" s="679">
        <v>0.3</v>
      </c>
      <c r="N20" s="679"/>
      <c r="O20" s="680" t="s">
        <v>590</v>
      </c>
      <c r="P20" s="633"/>
      <c r="Q20" s="633"/>
      <c r="R20" s="633"/>
    </row>
    <row r="21" spans="1:18" s="630" customFormat="1" ht="165">
      <c r="A21" s="659" t="s">
        <v>597</v>
      </c>
      <c r="B21" s="659" t="s">
        <v>598</v>
      </c>
      <c r="C21" s="1187"/>
      <c r="D21" s="659" t="s">
        <v>599</v>
      </c>
      <c r="E21" s="678">
        <f>+'10.a-Cash-flow 1. év'!O37</f>
        <v>0</v>
      </c>
      <c r="F21" s="678">
        <f>+'10.b-Cash-flow 2. év'!O37</f>
        <v>0</v>
      </c>
      <c r="G21" s="678">
        <f>+'10.a-Cash-flow 1. év'!O37+'10.b-Cash-flow 2. év'!O37</f>
        <v>0</v>
      </c>
      <c r="H21" s="651"/>
      <c r="I21" s="690" t="str">
        <f>IF(N21=0,IF(M21&gt;O21,"HIBA! - tervezze át, meghaladja az előírt korlátot.","A tervezési korlát rendben van."),0)</f>
        <v>A tervezési korlát rendben van.</v>
      </c>
      <c r="J21" s="653"/>
      <c r="K21" s="691">
        <f>IF(N21&gt;0,IF(N21&gt;O21,"HIBA! - tervezze át, meghaladja az előírt korlátot.","A tervezési korlát rendben van."),0)</f>
        <v>0</v>
      </c>
      <c r="L21" s="651"/>
      <c r="M21" s="655">
        <f>G20+G21</f>
        <v>0</v>
      </c>
      <c r="N21" s="655">
        <f>IF($G$30=0,0,M21*1.27)</f>
        <v>0</v>
      </c>
      <c r="O21" s="655">
        <f>G32*0.3</f>
        <v>993728.7</v>
      </c>
      <c r="P21" s="633"/>
      <c r="Q21" s="632"/>
      <c r="R21" s="633"/>
    </row>
    <row r="22" spans="1:18" s="630" customFormat="1" ht="37.5" customHeight="1">
      <c r="A22" s="1178" t="s">
        <v>600</v>
      </c>
      <c r="B22" s="1178" t="s">
        <v>601</v>
      </c>
      <c r="C22" s="1189"/>
      <c r="D22" s="1178" t="s">
        <v>602</v>
      </c>
      <c r="E22" s="1184">
        <f>+'10.a-Cash-flow 1. év'!O38</f>
        <v>0</v>
      </c>
      <c r="F22" s="1184">
        <f>+'10.b-Cash-flow 2. év'!O38</f>
        <v>0</v>
      </c>
      <c r="G22" s="1184">
        <f>+'10.a-Cash-flow 1. év'!O38+'10.b-Cash-flow 2. év'!O38</f>
        <v>0</v>
      </c>
      <c r="H22" s="651"/>
      <c r="I22" s="1194"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94"/>
      <c r="K22" s="1194"/>
      <c r="L22" s="651"/>
      <c r="M22" s="699"/>
      <c r="N22" s="699"/>
      <c r="O22" s="699"/>
      <c r="P22" s="697"/>
      <c r="Q22" s="664" t="s">
        <v>613</v>
      </c>
      <c r="R22" s="698"/>
    </row>
    <row r="23" spans="1:18" s="630" customFormat="1" ht="37.5">
      <c r="A23" s="1188"/>
      <c r="B23" s="1188"/>
      <c r="C23" s="1190"/>
      <c r="D23" s="1188"/>
      <c r="E23" s="1192"/>
      <c r="F23" s="1192"/>
      <c r="G23" s="1192"/>
      <c r="H23" s="651"/>
      <c r="I23" s="692" t="str">
        <f>IF(N23=0,IF(M23&gt;O23,"HIBA! - tervezze át, meghaladja az előírt korlátot.","A tervezési korlát rendben van."),0)</f>
        <v>A tervezési korlát rendben van.</v>
      </c>
      <c r="J23" s="633"/>
      <c r="K23" s="693">
        <f>IF(N23&gt;0,IF(N23&gt;O23,"HIBA! - tervezze át, meghaladja az előírt korlátot.","A tervezési korlát rendben van."),0)</f>
        <v>0</v>
      </c>
      <c r="L23" s="633"/>
      <c r="M23" s="700">
        <f>+G22</f>
        <v>0</v>
      </c>
      <c r="N23" s="700">
        <f>IF($G$30=0,0,M23*1.27)</f>
        <v>0</v>
      </c>
      <c r="O23" s="700">
        <f>300000*1.27</f>
        <v>381000</v>
      </c>
      <c r="P23" s="697"/>
      <c r="Q23" s="694"/>
      <c r="R23" s="698"/>
    </row>
    <row r="24" spans="1:18" s="630" customFormat="1" ht="39.75" customHeight="1">
      <c r="A24" s="1188"/>
      <c r="B24" s="1188"/>
      <c r="C24" s="1190"/>
      <c r="D24" s="1188"/>
      <c r="E24" s="1192"/>
      <c r="F24" s="1192"/>
      <c r="G24" s="1192"/>
      <c r="H24" s="651"/>
      <c r="I24" s="1194">
        <f>IF(M24=0,"Nem tervezett anyagköltséget a 3. üzleti évre, kérjük vizsgálja felül miért nincs szüksége vállalkozásának vásárolt anyagokra.",0)</f>
        <v>0</v>
      </c>
      <c r="J24" s="1194"/>
      <c r="K24" s="1194"/>
      <c r="M24" s="1195">
        <f>+'10.c-Cash-flow 3-4. év'!C50+'10.c-Cash-flow 3-4. év'!C51</f>
        <v>60000</v>
      </c>
      <c r="N24" s="1196"/>
      <c r="O24" s="1196"/>
      <c r="P24" s="667" t="s">
        <v>611</v>
      </c>
      <c r="Q24" s="694" t="s">
        <v>614</v>
      </c>
      <c r="R24" s="698"/>
    </row>
    <row r="25" spans="1:18" s="630" customFormat="1" ht="39.75" customHeight="1">
      <c r="A25" s="1179"/>
      <c r="B25" s="1179"/>
      <c r="C25" s="1191"/>
      <c r="D25" s="1179"/>
      <c r="E25" s="1185"/>
      <c r="F25" s="1185"/>
      <c r="G25" s="1185"/>
      <c r="H25" s="651"/>
      <c r="I25" s="1194">
        <f>IF(M25=0,"Nem tervezett anyagköltséget a 4. üzleti évre, kérjük vizsgálja felül miért nincs szüksége vállalkozásának vásárolt anyagokra.",0)</f>
        <v>0</v>
      </c>
      <c r="J25" s="1194"/>
      <c r="K25" s="1194"/>
      <c r="M25" s="1195">
        <f>+'10.c-Cash-flow 3-4. év'!D50+'10.c-Cash-flow 3-4. év'!D51</f>
        <v>60000</v>
      </c>
      <c r="N25" s="1196"/>
      <c r="O25" s="1196"/>
      <c r="P25" s="667" t="s">
        <v>612</v>
      </c>
      <c r="Q25" s="694" t="s">
        <v>615</v>
      </c>
      <c r="R25" s="698"/>
    </row>
    <row r="26" spans="1:18" s="630" customFormat="1" ht="150">
      <c r="A26" s="659" t="s">
        <v>603</v>
      </c>
      <c r="B26" s="660" t="s">
        <v>604</v>
      </c>
      <c r="C26" s="661" t="s">
        <v>605</v>
      </c>
      <c r="D26" s="658"/>
      <c r="E26" s="662">
        <f>+'10.a-Cash-flow 1. év'!O39</f>
        <v>0</v>
      </c>
      <c r="F26" s="662">
        <f>+'10.b-Cash-flow 2. év'!O39</f>
        <v>0</v>
      </c>
      <c r="G26" s="662">
        <f>+'10.a-Cash-flow 1. év'!O39+'10.b-Cash-flow 2. év'!O39</f>
        <v>0</v>
      </c>
      <c r="H26" s="651"/>
      <c r="I26" s="633"/>
      <c r="J26" s="633"/>
      <c r="K26" s="633"/>
      <c r="L26" s="633"/>
      <c r="M26" s="633"/>
      <c r="N26" s="633"/>
      <c r="O26" s="633"/>
      <c r="P26" s="633"/>
      <c r="Q26" s="632"/>
      <c r="R26" s="633"/>
    </row>
    <row r="27" spans="1:18" s="681" customFormat="1" ht="18.75">
      <c r="A27" s="1193" t="s">
        <v>228</v>
      </c>
      <c r="B27" s="1193"/>
      <c r="C27" s="1193"/>
      <c r="E27" s="682">
        <f>SUM(E9:E26)</f>
        <v>2107599</v>
      </c>
      <c r="F27" s="682">
        <f>SUM(F9:F26)</f>
        <v>1204830</v>
      </c>
      <c r="G27" s="682">
        <f>SUM(G9:G26)</f>
        <v>3312429</v>
      </c>
      <c r="M27" s="683"/>
      <c r="N27" s="683"/>
      <c r="O27" s="683"/>
      <c r="P27" s="683"/>
      <c r="Q27" s="683"/>
      <c r="R27" s="683"/>
    </row>
    <row r="28" spans="1:18" s="630" customFormat="1" ht="21">
      <c r="B28" s="684"/>
      <c r="C28" s="684"/>
      <c r="D28" s="685"/>
      <c r="E28" s="686"/>
      <c r="F28" s="686"/>
      <c r="G28" s="686"/>
      <c r="M28" s="633"/>
      <c r="N28" s="633"/>
      <c r="O28" s="633"/>
      <c r="P28" s="633"/>
      <c r="Q28" s="633"/>
      <c r="R28" s="633"/>
    </row>
    <row r="29" spans="1:18" s="630" customFormat="1" ht="21">
      <c r="B29" s="684"/>
      <c r="C29" s="684"/>
      <c r="D29" s="685"/>
      <c r="E29" s="685"/>
      <c r="F29" s="685"/>
      <c r="G29" s="685"/>
      <c r="M29" s="633"/>
      <c r="N29" s="633"/>
      <c r="O29" s="633"/>
      <c r="P29" s="633"/>
      <c r="Q29" s="633"/>
      <c r="R29" s="633"/>
    </row>
    <row r="30" spans="1:18" s="630" customFormat="1" ht="21">
      <c r="B30" s="684"/>
      <c r="C30" s="684"/>
      <c r="D30" s="687" t="s">
        <v>606</v>
      </c>
      <c r="E30" s="688">
        <f>+'10.a-Cash-flow 1. év'!O44</f>
        <v>0</v>
      </c>
      <c r="F30" s="688">
        <f>+'10.b-Cash-flow 2. év'!O44</f>
        <v>0</v>
      </c>
      <c r="G30" s="688">
        <f>+F30+E30</f>
        <v>0</v>
      </c>
      <c r="M30" s="633"/>
      <c r="N30" s="633"/>
      <c r="O30" s="633"/>
      <c r="P30" s="633"/>
      <c r="Q30" s="633"/>
      <c r="R30" s="633"/>
    </row>
    <row r="31" spans="1:18" s="630" customFormat="1" ht="21">
      <c r="B31" s="684"/>
      <c r="C31" s="684"/>
      <c r="D31" s="685"/>
      <c r="E31" s="685"/>
      <c r="F31" s="685"/>
      <c r="G31" s="685"/>
      <c r="M31" s="633"/>
      <c r="N31" s="633"/>
      <c r="O31" s="633"/>
      <c r="P31" s="633"/>
      <c r="Q31" s="633"/>
      <c r="R31" s="633"/>
    </row>
    <row r="32" spans="1:18" s="630" customFormat="1" ht="21">
      <c r="B32" s="684"/>
      <c r="C32" s="684"/>
      <c r="D32" s="685"/>
      <c r="E32" s="689">
        <f t="shared" ref="E32:F32" si="0">+E30+E27</f>
        <v>2107599</v>
      </c>
      <c r="F32" s="689">
        <f t="shared" si="0"/>
        <v>1204830</v>
      </c>
      <c r="G32" s="689">
        <f>+G30+G27</f>
        <v>3312429</v>
      </c>
      <c r="M32" s="633"/>
      <c r="N32" s="633"/>
      <c r="O32" s="633"/>
      <c r="P32" s="633"/>
      <c r="Q32" s="633"/>
      <c r="R32" s="633"/>
    </row>
    <row r="33" spans="1:18" s="630" customFormat="1">
      <c r="B33" s="684"/>
      <c r="C33" s="684"/>
      <c r="M33" s="633"/>
      <c r="N33" s="633"/>
      <c r="O33" s="633"/>
      <c r="P33" s="633"/>
      <c r="Q33" s="633"/>
      <c r="R33" s="633"/>
    </row>
    <row r="34" spans="1:18" s="630" customFormat="1">
      <c r="M34" s="633"/>
      <c r="N34" s="633"/>
      <c r="O34" s="633"/>
      <c r="P34" s="633"/>
      <c r="Q34" s="633"/>
      <c r="R34" s="633"/>
    </row>
    <row r="35" spans="1:18" s="630" customFormat="1">
      <c r="A35" s="638"/>
      <c r="B35" s="638"/>
      <c r="C35" s="638"/>
      <c r="D35" s="638"/>
      <c r="E35" s="638"/>
      <c r="F35" s="638"/>
      <c r="G35" s="638"/>
      <c r="M35" s="633"/>
      <c r="N35" s="633"/>
      <c r="O35" s="633"/>
      <c r="P35" s="633"/>
      <c r="Q35" s="633"/>
      <c r="R35" s="668"/>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8" priority="27" operator="equal">
      <formula>$M$6</formula>
    </cfRule>
  </conditionalFormatting>
  <conditionalFormatting sqref="I3">
    <cfRule type="cellIs" dxfId="7" priority="21" operator="equal">
      <formula>$M$6</formula>
    </cfRule>
  </conditionalFormatting>
  <conditionalFormatting sqref="I13">
    <cfRule type="cellIs" dxfId="6" priority="17" operator="equal">
      <formula>$M$6</formula>
    </cfRule>
  </conditionalFormatting>
  <conditionalFormatting sqref="M12">
    <cfRule type="cellIs" dxfId="5" priority="15" operator="equal">
      <formula>$M$11</formula>
    </cfRule>
  </conditionalFormatting>
  <conditionalFormatting sqref="N13">
    <cfRule type="cellIs" dxfId="4" priority="13" operator="equal">
      <formula>$N$11</formula>
    </cfRule>
  </conditionalFormatting>
  <conditionalFormatting sqref="I23">
    <cfRule type="cellIs" dxfId="3" priority="7" operator="equal">
      <formula>$M$6</formula>
    </cfRule>
  </conditionalFormatting>
  <conditionalFormatting sqref="K23">
    <cfRule type="cellIs" dxfId="2" priority="5" operator="equal">
      <formula>$M$6</formula>
    </cfRule>
  </conditionalFormatting>
  <conditionalFormatting sqref="I24">
    <cfRule type="cellIs" dxfId="1" priority="3" operator="equal">
      <formula>$M$6</formula>
    </cfRule>
  </conditionalFormatting>
  <conditionalFormatting sqref="I25">
    <cfRule type="cellIs" dxfId="0"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19</vt:i4>
      </vt:variant>
      <vt:variant>
        <vt:lpstr>Névvel ellátott tartományok</vt:lpstr>
      </vt:variant>
      <vt:variant>
        <vt:i4>25</vt:i4>
      </vt:variant>
    </vt:vector>
  </HeadingPairs>
  <TitlesOfParts>
    <vt:vector size="44"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2018-06-04T17:29:58Z</cp:lastPrinted>
  <dcterms:created xsi:type="dcterms:W3CDTF">2015-11-18T05:15:47Z</dcterms:created>
  <dcterms:modified xsi:type="dcterms:W3CDTF">2018-06-06T08:39:16Z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